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mc:AlternateContent xmlns:mc="http://schemas.openxmlformats.org/markup-compatibility/2006">
    <mc:Choice Requires="x15">
      <x15ac:absPath xmlns:x15ac="http://schemas.microsoft.com/office/spreadsheetml/2010/11/ac" url="https://clients.nousgroup.com.au/client/DPC/DPC53/Shared Documents/H. Analysis/"/>
    </mc:Choice>
  </mc:AlternateContent>
  <xr:revisionPtr revIDLastSave="0" documentId="13_ncr:1_{CA917818-87DF-4C06-86DF-6F5E4D1ED73B}" xr6:coauthVersionLast="28" xr6:coauthVersionMax="28" xr10:uidLastSave="{00000000-0000-0000-0000-000000000000}"/>
  <bookViews>
    <workbookView xWindow="0" yWindow="0" windowWidth="28800" windowHeight="11010" tabRatio="1000" xr2:uid="{00000000-000D-0000-FFFF-FFFF00000000}"/>
  </bookViews>
  <sheets>
    <sheet name="Overview" sheetId="23" r:id="rId1"/>
    <sheet name="A1 - Productivity" sheetId="7" r:id="rId2"/>
    <sheet name="A2 - Recruitment" sheetId="9" r:id="rId3"/>
    <sheet name="A3 - Retention" sheetId="15" r:id="rId4"/>
    <sheet name="A4 - Absenteeism" sheetId="11" r:id="rId5"/>
    <sheet name="B1 - Management Burden" sheetId="12" r:id="rId6"/>
    <sheet name="B2 - Marginal Onboarding Burden" sheetId="18" r:id="rId7"/>
    <sheet name="B3 - Flex implementation" sheetId="16" r:id="rId8"/>
    <sheet name="B4 - IT expense" sheetId="17" r:id="rId9"/>
    <sheet name="B5 - Office Rental Expense" sheetId="25" r:id="rId10"/>
    <sheet name="B6 - Backfill" sheetId="19" r:id="rId11"/>
    <sheet name="Extra Analysis - Diversity" sheetId="24" r:id="rId12"/>
  </sheets>
  <definedNames>
    <definedName name="all_x_range" localSheetId="9">#REF!</definedName>
    <definedName name="all_x_range" localSheetId="11">#REF!</definedName>
    <definedName name="all_x_range">#REF!</definedName>
    <definedName name="all_y_range" localSheetId="9">#REF!</definedName>
    <definedName name="all_y_range" localSheetId="11">#REF!</definedName>
    <definedName name="all_y_range">#REF!</definedName>
    <definedName name="c_co" localSheetId="9">#REF!</definedName>
    <definedName name="c_co" localSheetId="11">#REF!</definedName>
    <definedName name="c_co">#REF!</definedName>
    <definedName name="c_percentage" localSheetId="9">#REF!</definedName>
    <definedName name="c_percentage" localSheetId="11">#REF!</definedName>
    <definedName name="c_percentage">#REF!</definedName>
    <definedName name="Dummy_co" localSheetId="9">#REF!</definedName>
    <definedName name="Dummy_co" localSheetId="11">#REF!</definedName>
    <definedName name="Dummy_co">#REF!</definedName>
    <definedName name="pt_percentage" localSheetId="9">#REF!</definedName>
    <definedName name="pt_percentage" localSheetId="11">#REF!</definedName>
    <definedName name="pt_percentage">#REF!</definedName>
    <definedName name="x_co" localSheetId="9">#REF!</definedName>
    <definedName name="x_co" localSheetId="11">#REF!</definedName>
    <definedName name="x_co">#REF!</definedName>
    <definedName name="x_range" localSheetId="9">#REF!</definedName>
    <definedName name="x_range" localSheetId="11">#REF!</definedName>
    <definedName name="x_range">#REF!</definedName>
    <definedName name="y_range" localSheetId="9">#REF!</definedName>
    <definedName name="y_range" localSheetId="11">#REF!</definedName>
    <definedName name="y_range">#REF!</definedName>
  </definedNames>
  <calcPr calcId="171027"/>
</workbook>
</file>

<file path=xl/calcChain.xml><?xml version="1.0" encoding="utf-8"?>
<calcChain xmlns="http://schemas.openxmlformats.org/spreadsheetml/2006/main">
  <c r="G20" i="25" l="1"/>
  <c r="G23" i="25" s="1"/>
  <c r="H26" i="25"/>
  <c r="I26" i="25" s="1"/>
  <c r="F29" i="25" s="1"/>
  <c r="G51" i="12"/>
  <c r="F23" i="25" l="1"/>
  <c r="H23" i="25" s="1"/>
  <c r="G29" i="25" s="1"/>
  <c r="D7" i="25" s="1"/>
  <c r="K10" i="23" s="1"/>
  <c r="G65" i="24" l="1"/>
  <c r="I65" i="24" s="1"/>
  <c r="G64" i="24"/>
  <c r="I64" i="24" s="1"/>
  <c r="G63" i="24"/>
  <c r="I63" i="24" s="1"/>
  <c r="G62" i="24"/>
  <c r="H57" i="24"/>
  <c r="I57" i="24" s="1"/>
  <c r="H56" i="24"/>
  <c r="I56" i="24" s="1"/>
  <c r="H55" i="24"/>
  <c r="I55" i="24" s="1"/>
  <c r="H54" i="24"/>
  <c r="I54" i="24" s="1"/>
  <c r="I39" i="24"/>
  <c r="I38" i="24"/>
  <c r="G30" i="24" s="1"/>
  <c r="I37" i="24"/>
  <c r="G29" i="24" s="1"/>
  <c r="I36" i="24"/>
  <c r="G28" i="24" s="1"/>
  <c r="G31" i="24"/>
  <c r="H31" i="24" s="1"/>
  <c r="I31" i="24" s="1"/>
  <c r="F22" i="24"/>
  <c r="G66" i="24" l="1"/>
  <c r="I66" i="24" s="1"/>
  <c r="I62" i="24"/>
  <c r="H30" i="24"/>
  <c r="I30" i="24" s="1"/>
  <c r="H28" i="24"/>
  <c r="I28" i="24" s="1"/>
  <c r="G32" i="24"/>
  <c r="G58" i="24"/>
  <c r="H29" i="24"/>
  <c r="I29" i="24" s="1"/>
  <c r="H58" i="24" l="1"/>
  <c r="I58" i="24" s="1"/>
  <c r="H32" i="24"/>
  <c r="I32" i="24" s="1"/>
  <c r="F74" i="24" s="1"/>
  <c r="G74" i="24" s="1"/>
  <c r="H74" i="24" s="1"/>
  <c r="I74" i="24" s="1"/>
  <c r="F70" i="24" l="1"/>
  <c r="G70" i="24" s="1"/>
  <c r="H70" i="24" s="1"/>
  <c r="I70" i="24" s="1"/>
  <c r="D7" i="24" s="1"/>
  <c r="I29" i="15" l="1"/>
  <c r="F28" i="16" l="1"/>
  <c r="I30" i="15"/>
  <c r="G37" i="9"/>
  <c r="H37" i="9" s="1"/>
  <c r="G39" i="9"/>
  <c r="I31" i="15" l="1"/>
  <c r="I34" i="11"/>
  <c r="G48" i="11" s="1"/>
  <c r="H20" i="11"/>
  <c r="G54" i="11" s="1"/>
  <c r="H54" i="11" s="1"/>
  <c r="J25" i="15"/>
  <c r="G37" i="15" s="1"/>
  <c r="G31" i="15"/>
  <c r="I54" i="11" l="1"/>
  <c r="I33" i="11"/>
  <c r="G49" i="11" s="1"/>
  <c r="G55" i="11"/>
  <c r="H55" i="11" s="1"/>
  <c r="G36" i="15"/>
  <c r="H36" i="15" s="1"/>
  <c r="I36" i="15" s="1"/>
  <c r="G35" i="15"/>
  <c r="H35" i="15" l="1"/>
  <c r="I35" i="15" s="1"/>
  <c r="I55" i="11"/>
  <c r="H37" i="15"/>
  <c r="H40" i="15" l="1"/>
  <c r="G43" i="15" s="1"/>
  <c r="I37" i="15"/>
  <c r="G54" i="12" l="1"/>
  <c r="H51" i="12"/>
  <c r="G42" i="16"/>
  <c r="F39" i="16"/>
  <c r="G43" i="16" s="1"/>
  <c r="F36" i="12" l="1"/>
  <c r="G57" i="12" s="1"/>
  <c r="H54" i="12"/>
  <c r="G58" i="12" s="1"/>
  <c r="G59" i="12" l="1"/>
  <c r="D7" i="12" s="1"/>
  <c r="K6" i="23" s="1"/>
  <c r="I30" i="17" l="1"/>
  <c r="K30" i="17" s="1"/>
  <c r="I29" i="17"/>
  <c r="K29" i="17" s="1"/>
  <c r="H20" i="17"/>
  <c r="F33" i="17" l="1"/>
  <c r="H20" i="18"/>
  <c r="G24" i="18" s="1"/>
  <c r="H24" i="18" s="1"/>
  <c r="D7" i="17" l="1"/>
  <c r="K9" i="23" s="1"/>
  <c r="G24" i="19"/>
  <c r="D7" i="19" s="1"/>
  <c r="K11" i="23" s="1"/>
  <c r="G38" i="9" l="1"/>
  <c r="H38" i="9" s="1"/>
  <c r="G32" i="9"/>
  <c r="H39" i="9" l="1"/>
  <c r="H43" i="9" l="1"/>
  <c r="H44" i="9"/>
  <c r="H42" i="9"/>
  <c r="G29" i="7" l="1"/>
  <c r="H29" i="7"/>
  <c r="F33" i="7" l="1"/>
  <c r="F44" i="7" s="1"/>
  <c r="D7" i="7" s="1"/>
  <c r="E6" i="23" s="1"/>
  <c r="F22" i="16"/>
  <c r="F34" i="7"/>
  <c r="H61" i="9"/>
  <c r="G46" i="15" s="1"/>
  <c r="G47" i="15" l="1"/>
  <c r="D7" i="15" s="1"/>
  <c r="E8" i="23" s="1"/>
  <c r="H68" i="9" l="1"/>
  <c r="H69" i="9"/>
  <c r="H67" i="9"/>
  <c r="I67" i="9" s="1"/>
  <c r="H29" i="18" l="1"/>
  <c r="H33" i="18" l="1"/>
  <c r="D7" i="18" s="1"/>
  <c r="K7" i="23" s="1"/>
  <c r="H55" i="9"/>
  <c r="H56" i="9" s="1"/>
  <c r="I68" i="9" s="1"/>
  <c r="G44" i="16" l="1"/>
  <c r="D7" i="16" s="1"/>
  <c r="K8" i="23" s="1"/>
  <c r="K12" i="23" s="1"/>
  <c r="L11" i="23" l="1"/>
  <c r="L10" i="23"/>
  <c r="L9" i="23"/>
  <c r="L7" i="23"/>
  <c r="L6" i="23"/>
  <c r="L8" i="23"/>
  <c r="H63" i="9"/>
  <c r="I69" i="9" s="1"/>
  <c r="I70" i="9" s="1"/>
  <c r="D7" i="9" s="1"/>
  <c r="E7" i="23" s="1"/>
  <c r="I56" i="11" l="1"/>
  <c r="D7" i="11" s="1"/>
  <c r="E9" i="23" s="1"/>
  <c r="E12" i="23" s="1"/>
  <c r="F7" i="23" s="1"/>
  <c r="F8" i="23" l="1"/>
  <c r="N6" i="23"/>
  <c r="N14" i="23" s="1"/>
  <c r="F9" i="23"/>
  <c r="F6" i="23"/>
  <c r="R7" i="23" l="1"/>
  <c r="R8" i="23"/>
  <c r="R9" i="23" l="1"/>
  <c r="R11" i="23"/>
  <c r="R10" i="23"/>
  <c r="R12" i="23" l="1"/>
</calcChain>
</file>

<file path=xl/sharedStrings.xml><?xml version="1.0" encoding="utf-8"?>
<sst xmlns="http://schemas.openxmlformats.org/spreadsheetml/2006/main" count="759" uniqueCount="385">
  <si>
    <t>Seek</t>
  </si>
  <si>
    <t>N/A</t>
  </si>
  <si>
    <t>Impact Type</t>
  </si>
  <si>
    <t>Direct labour productivity</t>
  </si>
  <si>
    <t>Absenteeism</t>
  </si>
  <si>
    <t>A lot more productive</t>
  </si>
  <si>
    <t>A little more productive</t>
  </si>
  <si>
    <t>Zero impact</t>
  </si>
  <si>
    <t>A little less productive</t>
  </si>
  <si>
    <t>A lot less productive</t>
  </si>
  <si>
    <t>Client:</t>
  </si>
  <si>
    <t>Case:</t>
  </si>
  <si>
    <t>Hypothesis:</t>
  </si>
  <si>
    <t>Calculated based on existing data</t>
  </si>
  <si>
    <t>A. Overview</t>
  </si>
  <si>
    <t>Office for Prevention and Women’s Equality</t>
  </si>
  <si>
    <t>B. Finding(s)</t>
  </si>
  <si>
    <t>Refer to finding 1</t>
  </si>
  <si>
    <t>Actual salary expense (FY17)</t>
  </si>
  <si>
    <t>Source</t>
  </si>
  <si>
    <t>SurveyGizmo</t>
  </si>
  <si>
    <r>
      <t xml:space="preserve">Survey responses: </t>
    </r>
    <r>
      <rPr>
        <sz val="11"/>
        <color theme="1"/>
        <rFont val="Segoe UI"/>
        <family val="2"/>
        <scheme val="minor"/>
      </rPr>
      <t>"Flexible working makes me…"</t>
    </r>
  </si>
  <si>
    <t>Impact type:</t>
  </si>
  <si>
    <t>Legend / Key:</t>
  </si>
  <si>
    <t>F. Reference</t>
  </si>
  <si>
    <t>D. Data &amp; Analysis</t>
  </si>
  <si>
    <t xml:space="preserve">C. Steps </t>
  </si>
  <si>
    <t>Nous flexibility survey</t>
  </si>
  <si>
    <t xml:space="preserve">EY Australian Productivity Pulse </t>
  </si>
  <si>
    <t>Title</t>
  </si>
  <si>
    <t>http://www.ey.com/au/en/newsroom/news-releases/productivity-gains-stall---australia-has-305-billion-in-unrealised-productivity</t>
  </si>
  <si>
    <t>Date accessed / published</t>
  </si>
  <si>
    <t>Recruitment</t>
  </si>
  <si>
    <t xml:space="preserve">Corresponding productivity change </t>
  </si>
  <si>
    <t>Author</t>
  </si>
  <si>
    <t>Nous Group</t>
  </si>
  <si>
    <t>EY</t>
  </si>
  <si>
    <t>Industry Spotlights Healthcare &amp; Medical</t>
  </si>
  <si>
    <t>C. Steps &amp; Assumptions</t>
  </si>
  <si>
    <t>The main reason I joined the organisation</t>
  </si>
  <si>
    <t>One of the main reasons I joined the organisation</t>
  </si>
  <si>
    <t>Didn't really factor into my decision to join the organisation</t>
  </si>
  <si>
    <t>Was a small disincentive to join the organisation</t>
  </si>
  <si>
    <t>Was a big disincentive to join the organisation</t>
  </si>
  <si>
    <t>Alternative Scenarios</t>
  </si>
  <si>
    <t>Contractor surcharge</t>
  </si>
  <si>
    <t>Average salary</t>
  </si>
  <si>
    <t>Bad hire surcharge</t>
  </si>
  <si>
    <t>Assumed roles impacted</t>
  </si>
  <si>
    <t>Assumed additional cost</t>
  </si>
  <si>
    <t>Marginal 'bad hire' cost per role</t>
  </si>
  <si>
    <t>b) Vacant for longer</t>
  </si>
  <si>
    <t>c) Bad hire</t>
  </si>
  <si>
    <t>a) Filled by another suitable candidate</t>
  </si>
  <si>
    <t>Marginal contractor cost per role</t>
  </si>
  <si>
    <t>Outcome</t>
  </si>
  <si>
    <t>Occupational group</t>
  </si>
  <si>
    <t>Total</t>
  </si>
  <si>
    <t>a) Has the option to telework</t>
  </si>
  <si>
    <t>b) Do not have the option to telework</t>
  </si>
  <si>
    <t>Categories</t>
  </si>
  <si>
    <t>Assumed percentage of roles impacted</t>
  </si>
  <si>
    <t>Assumed no. roles impacted</t>
  </si>
  <si>
    <t>Assumed cost savings</t>
  </si>
  <si>
    <t>https://www.linkedin.com/pulse/20141031193914-60144-why-are-companies-are-still-scared-of-telecommuting/</t>
  </si>
  <si>
    <t>The American Management Association</t>
  </si>
  <si>
    <t>Flexible work reduces the cost of unplanned absenteeism, as some employees have the option to telework from another location.</t>
  </si>
  <si>
    <t>http://www.apsc.gov.au/about-the-apsc/parliamentary/state-of-the-service/state-of-the-service-2013-14/sosr-2013-14/theme-two-effectiveness/chapter-8/attendance-in-the-aps-unscheduled-absence</t>
  </si>
  <si>
    <t>Australian Public Service Commission</t>
  </si>
  <si>
    <t>Unlocking the potential of frontline managers</t>
  </si>
  <si>
    <t>McKinsey&amp;Company</t>
  </si>
  <si>
    <t>https://www.mckinsey.com/business-functions/organization/our-insights/unlocking-the-potential-of-frontline-managers</t>
  </si>
  <si>
    <t>Diversity</t>
  </si>
  <si>
    <t>Cost addition</t>
  </si>
  <si>
    <t>A1</t>
  </si>
  <si>
    <t>A2</t>
  </si>
  <si>
    <t>A3</t>
  </si>
  <si>
    <t>A4</t>
  </si>
  <si>
    <t>B1</t>
  </si>
  <si>
    <t>B2</t>
  </si>
  <si>
    <t>Total no. of employees (FY17)</t>
  </si>
  <si>
    <t>B3</t>
  </si>
  <si>
    <t>https://www.anao.gov.au/sites/g/files/net3721/f/ANAO_Report_2007-2008_31.pdf</t>
  </si>
  <si>
    <t>Australian National Audit Office</t>
  </si>
  <si>
    <t>Management of Recruitment in the
Australian Public Service</t>
  </si>
  <si>
    <t>B4</t>
  </si>
  <si>
    <t>The main reason I continue to work here (I couldn't work here without it!)</t>
  </si>
  <si>
    <t>One of the main reasons I continue to work here</t>
  </si>
  <si>
    <t>Has no impact on my decision to continue to work here</t>
  </si>
  <si>
    <t>Discourages me a bit from continuing to work here</t>
  </si>
  <si>
    <t>Number of positions to fill</t>
  </si>
  <si>
    <t>Total cost</t>
  </si>
  <si>
    <t>Turnover costs</t>
  </si>
  <si>
    <t>a) Direct recruitment costs as a % of average salary</t>
  </si>
  <si>
    <t>Management of Recruitment in the Australian Public Service (Performance Audit Report No. 31, 2007–08, p16)</t>
  </si>
  <si>
    <t>a) Managerial cost (i.e. direct cost)</t>
  </si>
  <si>
    <t>Additional overhead costs due to additional employees</t>
  </si>
  <si>
    <t>Scenarios</t>
  </si>
  <si>
    <t>b) Increased overhead cost (i.e. indirect cost)</t>
  </si>
  <si>
    <t>b) Indirect costs of employee turnover</t>
  </si>
  <si>
    <t>Total additional management costs</t>
  </si>
  <si>
    <t>Actual no. of new hires (FY17)</t>
  </si>
  <si>
    <t>Ratio of FTE to workforce</t>
  </si>
  <si>
    <t>a) Awareness training cost</t>
  </si>
  <si>
    <t>b) Program management cost</t>
  </si>
  <si>
    <t>Total cost addition</t>
  </si>
  <si>
    <t>Number of additional positions to fill</t>
  </si>
  <si>
    <t>Flexible work increases costs to backfill gaps left by employees on extended leave.</t>
  </si>
  <si>
    <t>Average annual salary</t>
  </si>
  <si>
    <t>B5</t>
  </si>
  <si>
    <t>Flexible work incurs ongoing implementation costs required to manage the relevant workplace arrangements.</t>
  </si>
  <si>
    <t>Stanford University</t>
  </si>
  <si>
    <t>https://people.stanford.edu/nbloom/sites/default/files/wfh.pdf</t>
  </si>
  <si>
    <t>b) Cost calculations: vacant for longer</t>
  </si>
  <si>
    <t>a) Cost calculations: other suitable candidates</t>
  </si>
  <si>
    <t>c) Cost calculations: bad hire</t>
  </si>
  <si>
    <r>
      <t xml:space="preserve">Survey Responses: </t>
    </r>
    <r>
      <rPr>
        <sz val="11"/>
        <color theme="1"/>
        <rFont val="Segoe UI"/>
        <family val="2"/>
        <scheme val="minor"/>
      </rPr>
      <t>"Flexible work is…"</t>
    </r>
  </si>
  <si>
    <t>Flexible work helps organisations retain experienced talent; thus reduces the corresponding direct and indirect employee turnover costs.</t>
  </si>
  <si>
    <t>Flexible work results in a larger workforce (due to the uptake in part-time or casual work); which increases the corresponding total employee IT expense.</t>
  </si>
  <si>
    <t>Cost saving</t>
  </si>
  <si>
    <t>a) Recruitment costs as a % of average salary</t>
  </si>
  <si>
    <t>Flexible work increases senior management's gender diversity, which increases company productivity.</t>
  </si>
  <si>
    <t>Backoffice team</t>
  </si>
  <si>
    <t>Backfill</t>
  </si>
  <si>
    <t>IT expense</t>
  </si>
  <si>
    <t>Retention</t>
  </si>
  <si>
    <t>B6</t>
  </si>
  <si>
    <t>Total cost saving</t>
  </si>
  <si>
    <t>https://insightsresources.seek.com.au/page/gov-defence</t>
  </si>
  <si>
    <t>Total no. of new hires (FY17)</t>
  </si>
  <si>
    <t>Salary expense (FY17)</t>
  </si>
  <si>
    <r>
      <t xml:space="preserve">Survey Responses: </t>
    </r>
    <r>
      <rPr>
        <sz val="11"/>
        <color theme="1"/>
        <rFont val="Segoe UI"/>
        <family val="2"/>
        <scheme val="minor"/>
      </rPr>
      <t>"Flexible work is…"</t>
    </r>
  </si>
  <si>
    <t>b)Training costs as a % of average salary (non-firefighter)</t>
  </si>
  <si>
    <t>Employees</t>
  </si>
  <si>
    <t xml:space="preserve">We measure the self-reported employee productivity change due to flexible work, then calculate the organisation-wide productivity impact of the productivity increase. Productivity impact is measured as cost savings calculated as salaries saved by having a more efficient workforce.
</t>
  </si>
  <si>
    <t>DOES WORKING FROM HOME WORK? EVIDENCE FROM A CHINESE EXPERIMENT</t>
  </si>
  <si>
    <t>Gender</t>
  </si>
  <si>
    <t>Percentage of employees who work flexibly</t>
  </si>
  <si>
    <t>Male</t>
  </si>
  <si>
    <t>Female</t>
  </si>
  <si>
    <t>Raw data input</t>
  </si>
  <si>
    <t>Estimated based on assumptions</t>
  </si>
  <si>
    <t>No. of employees (headcount)</t>
  </si>
  <si>
    <t>% Respondents (total)</t>
  </si>
  <si>
    <t>% Male Respondents</t>
  </si>
  <si>
    <t>% Female Respondents</t>
  </si>
  <si>
    <t>Calculated without gendered analysis</t>
  </si>
  <si>
    <t>Calculated with gendered analysis</t>
  </si>
  <si>
    <t>Flexible work has a positive and substantial direct labour productivity impact for employees which has a corresponding financial impact in reduced salary expenditure required to produce the same output.</t>
  </si>
  <si>
    <t xml:space="preserve">Flexible work allows organisations to fill vacant positions with the best quality candidates quicker and more consistently as flexible work makes them an “employer of choice” and attracts a deeper talent pool of candidates who may otherwise not have applied.
</t>
  </si>
  <si>
    <t>% Respondents (men)</t>
  </si>
  <si>
    <t>% Respondents (women)</t>
  </si>
  <si>
    <t>%</t>
  </si>
  <si>
    <t>#</t>
  </si>
  <si>
    <t>Exploring the relationship of workplace flexibility,
gender, and life stage to family-to-work conflict,
and stress and burnout</t>
  </si>
  <si>
    <t>Routledge</t>
  </si>
  <si>
    <t>http://www.tandfonline.com.ezp.lib.unimelb.edu.au/doi/pdf/10.1080/13668800802027564?needAccess=true</t>
  </si>
  <si>
    <t>New hires who would not have joined in the absence of flexible work arrangements</t>
  </si>
  <si>
    <t>Average Salary</t>
  </si>
  <si>
    <t>Time cost (2 months)</t>
  </si>
  <si>
    <t>Chapter 8 - Attendance in the APS: Unscheduled absence workplace absenteeism</t>
  </si>
  <si>
    <t>Assumed sick and carers leave to absence ratio</t>
  </si>
  <si>
    <t>FY17 'additional leave' as expressed by equivalent FTE</t>
  </si>
  <si>
    <t>Assumed percentage of additional leave filled by contractors</t>
  </si>
  <si>
    <t xml:space="preserve">Cost of backfilling </t>
  </si>
  <si>
    <t>Cost of additional leave</t>
  </si>
  <si>
    <t>Marginal Onboarding Burden</t>
  </si>
  <si>
    <t>Flexible work results in a larger workforce (due to the uptake in part-time  work), thereby increasing recruitment and training costs.</t>
  </si>
  <si>
    <t>Total no. of FTE (FY17)</t>
  </si>
  <si>
    <r>
      <t xml:space="preserve">Estimated no. of new hires (FY17)
</t>
    </r>
    <r>
      <rPr>
        <sz val="11"/>
        <color theme="1"/>
        <rFont val="Segoe UI"/>
        <family val="2"/>
        <scheme val="minor"/>
      </rPr>
      <t>if all employees were FTE</t>
    </r>
  </si>
  <si>
    <t>No. of "surplus" hires (FY17)</t>
  </si>
  <si>
    <t>Average salary*</t>
  </si>
  <si>
    <t>Number of "surplus" employees (FY17)</t>
  </si>
  <si>
    <r>
      <t xml:space="preserve">Total IT expense (FY17)
</t>
    </r>
    <r>
      <rPr>
        <sz val="11"/>
        <color theme="1"/>
        <rFont val="Segoe UI"/>
        <family val="2"/>
        <scheme val="minor"/>
      </rPr>
      <t>Only includes employee IT expense and not company-wide IT infrastructure costs</t>
    </r>
  </si>
  <si>
    <t>Number of employees (headcount)</t>
  </si>
  <si>
    <t>Number of employees (FTE)</t>
  </si>
  <si>
    <t>Number of "surplus" employees</t>
  </si>
  <si>
    <t>"Surplus" costs as a result of flexible work</t>
  </si>
  <si>
    <t>Employee Group</t>
  </si>
  <si>
    <t>Assumed days spent on attending awareness training (per employee per year)</t>
  </si>
  <si>
    <t>% time HR spends managing flex</t>
  </si>
  <si>
    <t>Total awareness training cost (FY17)</t>
  </si>
  <si>
    <t xml:space="preserve">Total no. of HR Staff  - FTE (FY17) </t>
  </si>
  <si>
    <t>Average annual salary*  (FY17)</t>
  </si>
  <si>
    <t>Total program management cost (FY17)</t>
  </si>
  <si>
    <t>Management Burden</t>
  </si>
  <si>
    <t>Flexible work results in a larger workforce (due to the uptake in part-time work); which increases the corresponding direct and indirect employee management costs.</t>
  </si>
  <si>
    <t>FTE (FY17)</t>
  </si>
  <si>
    <t>Time spent managing teams (without flex)</t>
  </si>
  <si>
    <t>Assumed loss of productive time due to managing a flex team</t>
  </si>
  <si>
    <t>Additional managerial costs due to flexibility (FY17)</t>
  </si>
  <si>
    <t>Assumed number of flex teams (FY17) - reflective of broader flexibility uptake</t>
  </si>
  <si>
    <t>Approximate number of employee-facing back office staff</t>
  </si>
  <si>
    <t>Assumed percentage of time spent on overseeing specific employee needs</t>
  </si>
  <si>
    <t>HR, IT help desk and payroll</t>
  </si>
  <si>
    <t>No. of additional employees due to flexible work arrangements (FY17)</t>
  </si>
  <si>
    <t>Assumed annual overhead costs per employee</t>
  </si>
  <si>
    <t>Approximate average annual salary per employee*</t>
  </si>
  <si>
    <t>HR (incl. payroll)</t>
  </si>
  <si>
    <t>We identified two management costs caused by flexible work arrangements:
a) increased managerial cost (direct), and
b) increased overhead cost (indirect).
For example, if two employees were job-sharing, a) their manager would spend time to train and manage both employees, and b) the back office support team (including HR, Finance and IT, etc.) would also need to support both employees. The former reduces productive manager time due to increased supervision burden. The latter increases overhead costs due to increased back office workload.</t>
  </si>
  <si>
    <t>Cost saving from flexible work arrangements</t>
  </si>
  <si>
    <t>Recruitment cost addition in the absence of flexible work arrangements</t>
  </si>
  <si>
    <t>Percentage reduction of unscheduled absences due to access to flexible work arrangements (i.e. telework)</t>
  </si>
  <si>
    <t xml:space="preserve">We then calculate the salary saving due to flexible work arrangements based on this 63% reduction of unscheduled absences.
a) Has the option to telework;
b) Do not have the option to telework.
</t>
  </si>
  <si>
    <t>Absenteeism cost savings from flexible work arrangements</t>
  </si>
  <si>
    <t>Cost to fill additional positions due to flexible work arrangements</t>
  </si>
  <si>
    <t>We then aggregate the two costs to calculate the total implementation costs as a result for having flexible work arrangements as: $400k.</t>
  </si>
  <si>
    <t>Total additional management costs due to flexible work arrangements</t>
  </si>
  <si>
    <t>We then calculate the additional IT expense as a result for having flexible work arrangements (and hence a larger workforce) as: $566k.</t>
  </si>
  <si>
    <t>Additional IT expense (FY17)
due to flexible work arrangements*</t>
  </si>
  <si>
    <t>Scaling factor to account for annualised cost savings</t>
  </si>
  <si>
    <t>% Respondents (male)</t>
  </si>
  <si>
    <t>% Respondents (female)</t>
  </si>
  <si>
    <t>% who work flexibly</t>
  </si>
  <si>
    <t># who work flexibly</t>
  </si>
  <si>
    <t>Finding:</t>
  </si>
  <si>
    <t>% of flex workforce</t>
  </si>
  <si>
    <t>% of total workforce</t>
  </si>
  <si>
    <r>
      <t xml:space="preserve">We then identified costs of hiring a new candidate to fill a position as: 
a) direct recruitment costs, 
b) indirect costs of employee turnover (lost productivity, training costs)
According to analysis from the Australian Public Service (APS), estimates of direct recruitment costs are at 15% to 25% of a position’s annual salary. Furthermore, HRM literature has also suggested that new APS recruits typically perform at only 60% of their productive potential when they are first appointed, reaching 100 per cent only after they have been in a position for a year. As such, we conservatively assume both direct and indirect costs of employee turnover as 15% of a position’s annual salary respectively. </t>
    </r>
    <r>
      <rPr>
        <sz val="11"/>
        <color theme="1"/>
        <rFont val="Segoe UI"/>
        <family val="2"/>
        <scheme val="minor"/>
      </rPr>
      <t xml:space="preserve">
</t>
    </r>
  </si>
  <si>
    <t>Workforce information</t>
  </si>
  <si>
    <t>Average sick and carers leave expressed as days/FTE per year (FY17)</t>
  </si>
  <si>
    <t>Assumed  unplanned absences expressed as days/FTE (FY17)</t>
  </si>
  <si>
    <t>No ability to telework (i.e. field staff)</t>
  </si>
  <si>
    <t>Ability to telework (i.e. office staff)</t>
  </si>
  <si>
    <t>% workforce</t>
  </si>
  <si>
    <t>No. of employees (FTE)</t>
  </si>
  <si>
    <t>Assumed no. unscheduled absence days/FTE (FY17)</t>
  </si>
  <si>
    <t>Reduced no. unscheduled absence days/FTE  due to flexible work (FY17)</t>
  </si>
  <si>
    <t>Annual Report 2016-17</t>
  </si>
  <si>
    <t>% of total cost saving</t>
  </si>
  <si>
    <t>% of total cost addition</t>
  </si>
  <si>
    <t>Annual Net Impact (simple sum)</t>
  </si>
  <si>
    <t>5 year ROI projection (assuming status quo for organisational context and flexibility implementation)</t>
  </si>
  <si>
    <t>Discount rate</t>
  </si>
  <si>
    <t>Present Value (yr 0)</t>
  </si>
  <si>
    <t>Flex Implementation</t>
  </si>
  <si>
    <t>Present Value (yr 1)</t>
  </si>
  <si>
    <t>Marginal IT Expenses</t>
  </si>
  <si>
    <t>Present Value (yr 2)</t>
  </si>
  <si>
    <t>Office Rental Expenses</t>
  </si>
  <si>
    <t>Present Value (yr 3)</t>
  </si>
  <si>
    <t>Present Value (yr 4)</t>
  </si>
  <si>
    <t>Net Present Value (over 5 years)</t>
  </si>
  <si>
    <t xml:space="preserve"> </t>
  </si>
  <si>
    <t>b) Standard operating charge</t>
  </si>
  <si>
    <t>a) Digital First contribution levy</t>
  </si>
  <si>
    <t>Flexible work arrangement implementation</t>
  </si>
  <si>
    <t>We assume that a big productivity increase is a 15% increase. This is based on an EY Australian Productivity Pulse publication, which has found that "Australian workers say they could be 21% more productive at work every day if they could change just one or two things at work". This accords with a Stanford University publication, which found individual productivity improved by 22% when employees were able to choose whether to telecommute or not (Stanford University, 2014). We therefore assume that a big productivity increase/decrease is a +/- 15% change and a small productivity increase/decrease is a +/- 7% change. We opt for 15% rather than 20% as a conservative interpretation of the literature, given flexible work is unlikely to be the only driver of improved employee productivity. This equates to approximately 1 hour/day of increased output (working smarter, not harder or longer). We use this to assign a numerical value to the flexible working survey results.</t>
  </si>
  <si>
    <t>De-identified data for public release</t>
  </si>
  <si>
    <t>Organisation workforce data</t>
  </si>
  <si>
    <t>Organisation flexibility data 2017</t>
  </si>
  <si>
    <t>Overall Organisation's productivity change due to flexible work</t>
  </si>
  <si>
    <t>Organisation Salary expense (FY17)</t>
  </si>
  <si>
    <t>Organisation financial data</t>
  </si>
  <si>
    <t>Organisation saves $29m each year on salaries due to an 8% increase in the productivity of its staff as a result of flexible work arrangements (based on FY17 data).</t>
  </si>
  <si>
    <t>% who would have left Organisation in the absence of flexible work arrangements</t>
  </si>
  <si>
    <t>Organisation Flexibility Survey 2017</t>
  </si>
  <si>
    <t>Employees who would have left Organisation in the absence of flexible work arrangements</t>
  </si>
  <si>
    <t>Scaled # employees who would have left Organisation in the absence of flexible work arrangements (annualised)</t>
  </si>
  <si>
    <t>Organisation Workforce Data</t>
  </si>
  <si>
    <t>Approximation from Organisation Administrative Data</t>
  </si>
  <si>
    <t>Organisation administrative data</t>
  </si>
  <si>
    <t xml:space="preserve">Of the roles that would not have been filled in the absence of flexible work arrangements, we assume:
a) 50% of them would have been filled by another suitable candidate;
b) 20% of them would have been vacant for longer;
c) 30% of them would have been filled by the 'wrong person' (i.e. a bad hire).
These assumptions are based on a best guess in relation to a literature scan on recruitment.
</t>
  </si>
  <si>
    <r>
      <rPr>
        <sz val="11"/>
        <rFont val="Segoe UI"/>
        <family val="2"/>
        <scheme val="minor"/>
      </rPr>
      <t xml:space="preserve">We then calculate the costs for each of these scenarios for all impacted roles:
a) Other suitable candidates : zero cost
b) Vacant for longer: We assume the roles are vacant for a further two months and would need to be filled by a contractor or a temporary employee, with a fee that is equivalent to 10% of an employee salary. (This is a standard contractor surcharge). This would be equivalent to a cost of $1.5k.
c) Bad hire: The most commonly accepted figure for the average cost of a bad hire is from the US Department of Labour, and estimated at 30% of the individual's first year salary (Wall Street Journal, 2003). </t>
    </r>
    <r>
      <rPr>
        <sz val="11"/>
        <color theme="1"/>
        <rFont val="Segoe UI"/>
        <family val="2"/>
        <scheme val="minor"/>
      </rPr>
      <t xml:space="preserve">
</t>
    </r>
  </si>
  <si>
    <t>We assume that of the 17% who reported flexible working to be the main reason for staying, 80% would leave for a competitor without flexible work arrangements. Of the 59% for whom it was one of the main reasons to stay, 20% would leave for a competitor in the absence of flexible work arrangements. We consider this a conservative assumption. In other words, around 25% of Organisation's flex team (or 17% of the total workforce) would not work there if it was not for  flexible work arrangements (note we assume the lack of flexible work arrangements would not be a decision factor for employees who do not currently work flexibly). We also split this analysis by gender.  
Given we are calculating an annual cost saving (not a one-off), we will need to scale down this estimate of reduced turnover. It stands to reason that if 17% of employees chose to leave Organisation if there were no flexible work arrangements, the employees who joined to replace them would not be as driven by flexible work. Therefore the subsequent year's turnover would be much lower. We assume that on an ongoing, annual basis, we will only see half of this reduced turnover.</t>
  </si>
  <si>
    <t xml:space="preserve">We then calculate the cost saving due to flexible work arrangements based on the reduction in employee turnover, assuming that Organisation would save on both direct recruitment cost and indirect employee turnover cost, as $4.6m.
</t>
  </si>
  <si>
    <t>Finding (conservative):</t>
  </si>
  <si>
    <t>Predicted increase in EBIT margin for increase of 1% in diversity</t>
  </si>
  <si>
    <t>Diversity Matters</t>
  </si>
  <si>
    <t>https://www.mckinsey.com/~/media/mckinsey/business%20functions/organization/our%20insights/why%20diversity%20matters/diversity%20matters.ashx</t>
  </si>
  <si>
    <r>
      <t xml:space="preserve">Occupational subgroup
</t>
    </r>
    <r>
      <rPr>
        <sz val="11"/>
        <color theme="1"/>
        <rFont val="Segoe UI"/>
        <family val="2"/>
        <scheme val="minor"/>
      </rPr>
      <t>(within Management)</t>
    </r>
  </si>
  <si>
    <t>CEO / Head of Business in Australia</t>
  </si>
  <si>
    <t>WGEA</t>
  </si>
  <si>
    <t>Key management personnel</t>
  </si>
  <si>
    <t>Other executives / general managers</t>
  </si>
  <si>
    <t>Senior managers</t>
  </si>
  <si>
    <t>Calculations for HHI</t>
  </si>
  <si>
    <t>1) Approach one</t>
  </si>
  <si>
    <t>Health Care and Social Assistance within All industries</t>
  </si>
  <si>
    <t>http://data.wgea.gov.au/industries/6#gender_comp_content</t>
  </si>
  <si>
    <t>2) Approach two</t>
  </si>
  <si>
    <t>Public report submitted by Aegis Aged Care Management Pty Ltd</t>
  </si>
  <si>
    <t>https://www.wgea.gov.au/sites/default/files/public_reports/tempPublicReport_icsak9tyqr.pdf</t>
  </si>
  <si>
    <r>
      <t xml:space="preserve">Percentage increase in EBIT from greater gender diversity </t>
    </r>
    <r>
      <rPr>
        <sz val="11"/>
        <color theme="1"/>
        <rFont val="Segoe UI"/>
        <family val="2"/>
        <scheme val="minor"/>
      </rPr>
      <t>(conservative estimate)</t>
    </r>
  </si>
  <si>
    <t>Calculated EBIT (FY17) if in the absence of flexible work arrangements (and hence lower diversity)</t>
  </si>
  <si>
    <t>Conservative EBIT gain from flexible work arrangements (which we assume is also the revenue gain)</t>
  </si>
  <si>
    <r>
      <t xml:space="preserve">Increase in EBIT from greater gender diversity </t>
    </r>
    <r>
      <rPr>
        <sz val="11"/>
        <color theme="1"/>
        <rFont val="Segoe UI"/>
        <family val="2"/>
        <scheme val="minor"/>
      </rPr>
      <t>(optimistic estimate)</t>
    </r>
  </si>
  <si>
    <t>Optimistic EBIT gain from flexible work arrangements (which we assume is also the revenue gain)</t>
  </si>
  <si>
    <t>General Manager</t>
  </si>
  <si>
    <t>Role</t>
  </si>
  <si>
    <t>We assume that back office support teams (including HR, Finance and IT, etc.) spend, on average, 50% of their time overseeing specific employee needs (e.g.  time spent responding to specific employee HR and payroll requests and needs etc.). The remaining 50% of their time is spent on general activities like weekly meetings and routine business, which occurs regardless of the size of the workforce.
We then calculate the increased overhead cost as a result for having flexible work arrangements.</t>
  </si>
  <si>
    <t>We then aggregate the two costs to calculate the total additional management costs as a result for having flexible work arrangements as: $3.5m.</t>
  </si>
  <si>
    <t>We then estimate Organisation's new hires (in FY17), if it had only hired full time employees, by applying the ratio of FTE to headcount (0.75) to the actual number of new hires (400). In other words, Organisation hired an additional 100 employees (in FY17) due to flexible work arrangements.</t>
  </si>
  <si>
    <t>We then identified costs of on-boarding a new candidate  in terms of recruitment and training. 
According to analysis from the Australian Public Service (APS), estimates of direct recruitment costs are at 15% to 25% of a position’s annual salary. Furthermore, HRM literature has also suggested that new APS recruits typically perform at only 60% of their productive potential when they are first appointed, reaching 100 per cent only after they have been in a position for a year. As such, we assume both recruitment and training costs as 15% of a position’s annual salary respectively. 
We then calculate the cost addition due to flexible work arrangements based on the 100 additional hires, assuming that Organisation would spend on recruitment and training as $2.7m.</t>
  </si>
  <si>
    <t>Employee Group A</t>
  </si>
  <si>
    <t>Employee Group B</t>
  </si>
  <si>
    <t>IT cost per employee</t>
  </si>
  <si>
    <t>As a result of flexible work arrangements, Organisation incurs an additional $1.5m each year in IT expense from employing additional flex employees.</t>
  </si>
  <si>
    <t>Office Rental Expense</t>
  </si>
  <si>
    <t xml:space="preserve">Flexible work results in a larger workforce (due to the uptake in part-time work), thereby increasing the corresponding office rental expense in the absence of hot-desking.
</t>
  </si>
  <si>
    <t>Size of the site (in square meters (sqm))</t>
  </si>
  <si>
    <t>No. of employees on site</t>
  </si>
  <si>
    <t>No. of desks available</t>
  </si>
  <si>
    <t>sqm/employee</t>
  </si>
  <si>
    <t>cost/sqm</t>
  </si>
  <si>
    <t>cost/employee space</t>
  </si>
  <si>
    <t>Heacount: FTE ratio</t>
  </si>
  <si>
    <t>Cost of office space for "surplus" employees (FY17)</t>
  </si>
  <si>
    <t>Total no. of FTE(FY17)</t>
  </si>
  <si>
    <t>Approximate FTE at main office site</t>
  </si>
  <si>
    <t>Yearly rental cost of main office site (excl. GST)</t>
  </si>
  <si>
    <t>"Surplus" employees at main office site (difference between headcount and FTE)</t>
  </si>
  <si>
    <t>Annual net impact as a proportion of overall revenue</t>
  </si>
  <si>
    <t>Organisation revenue (FY17)</t>
  </si>
  <si>
    <t>We calculate Organisation's revenue gain for having flexible work arrangements in terms of increased productivity from a more gender-diverse senior executive team. flexible work arrangements help attract a diverse team, and research shows that greater gender diversity within the senior executive team corresponds to performance uplift. This is calculated as a revenue gain using two approaches:
1) comparing Organisation's senior executive team's gender-diversity against that of industry average, and
2) comparing Organisation's senior executive team's gender-diversity against that of a competitor without flexible work arrangements.</t>
  </si>
  <si>
    <t>Organisation's actual EBIT (FY17)</t>
  </si>
  <si>
    <t>Percentage of female employees
for Organisation (FY17)</t>
  </si>
  <si>
    <t>Percentage of male employees
for Organisation (FY17)</t>
  </si>
  <si>
    <t>HHI
for Organisation (FY17)</t>
  </si>
  <si>
    <t>No. of female employees
for Organisation (FY17)</t>
  </si>
  <si>
    <t>No. of male employees
for Organisation (FY17)</t>
  </si>
  <si>
    <t>Total no. of employees
for Organisation (FY17)</t>
  </si>
  <si>
    <t>Organisation's gender diversity compared to the industry average (FY17)</t>
  </si>
  <si>
    <t>We assume that with every one percent increase in executive team's gender diversity, an organisation is expected to see an increase of 0.0016 in EBIT (Earnings Before Interest and Tax). This is based on a McKinsey&amp;Company US publication, which analysed 366 organisations across UK, United States, Canada and Latin America. This global effect size could be used as an approximate financial proxy for the benefits of increased workplace diversity in a ROI calculation for an Australian business.
We used the Herfindahl–Hirschman Index (HHI) to evaluate team diversity. The HHI is a tool that has historically been used by economists to determine the level of competitiveness within markets and industries. Adapted, it can serve as a useful measure of diversity (by any of the workforce attributes listed above) that is more discerning than a simple proportion of headcount. A HHI of 1 indicates a team of no diversity. The lower the HHI, the more diverse the team.
To calculate Organisation senior management's gender diversity in HHI, we identified its composition using the most recent report from the Workplace Gender Equality Agency (WGEA, 2017). Of the 75 managers, 48% are female and 52% are male; this equates to a HHI of 0.5.</t>
  </si>
  <si>
    <t>To evaluate the effect of flexible work arrangements on senior management's gender-diversity, we took two approaches:
1) Approach one: we identified the average industry composition by filtering the WGEA data so we only reviewed data for organisations from the same industry with more than 5000 employees. 
However, 65.2% of the organisations within the industry (&gt;5000 employees) group have formal flexible work arrangements in place. So we assume approach one will only provide a conservative estimate.
2) Approach two: we identified Competitor X as an organisation that does not have a formalised flexible work arrangement (at the time of this analysis). So we assume approach two will provide an optimistic estimate.</t>
  </si>
  <si>
    <r>
      <t xml:space="preserve">Percentage of female employees
</t>
    </r>
    <r>
      <rPr>
        <sz val="11"/>
        <color theme="1"/>
        <rFont val="Segoe UI"/>
        <family val="2"/>
        <scheme val="minor"/>
      </rPr>
      <t>for Competitor X (FY17)</t>
    </r>
  </si>
  <si>
    <r>
      <t xml:space="preserve">Percentage of male employees
</t>
    </r>
    <r>
      <rPr>
        <sz val="11"/>
        <color theme="1"/>
        <rFont val="Segoe UI"/>
        <family val="2"/>
        <scheme val="minor"/>
      </rPr>
      <t>for Competitor X (FY17)</t>
    </r>
  </si>
  <si>
    <r>
      <t xml:space="preserve">HHI
</t>
    </r>
    <r>
      <rPr>
        <sz val="11"/>
        <color theme="1"/>
        <rFont val="Segoe UI"/>
        <family val="2"/>
        <scheme val="minor"/>
      </rPr>
      <t>for Competitor X (FY17)</t>
    </r>
  </si>
  <si>
    <t>Organisation's gender diversity compared to Competitor X (FY17)</t>
  </si>
  <si>
    <t>Organisation Financial Data</t>
  </si>
  <si>
    <t xml:space="preserve">Public report </t>
  </si>
  <si>
    <t>https://www.wgea.gov.au</t>
  </si>
  <si>
    <r>
      <t xml:space="preserve">Percentage of female employees
</t>
    </r>
    <r>
      <rPr>
        <sz val="11"/>
        <color theme="1"/>
        <rFont val="Segoe UI"/>
        <family val="2"/>
        <scheme val="minor"/>
      </rPr>
      <t>across industry organisations with &gt;5000 employees (FY17)</t>
    </r>
  </si>
  <si>
    <r>
      <t xml:space="preserve">Percentage of male employees
</t>
    </r>
    <r>
      <rPr>
        <sz val="11"/>
        <color theme="1"/>
        <rFont val="Segoe UI"/>
        <family val="2"/>
        <scheme val="minor"/>
      </rPr>
      <t>across industry organisations with &gt;5000 employees (FY17)</t>
    </r>
  </si>
  <si>
    <r>
      <t xml:space="preserve">HHI
</t>
    </r>
    <r>
      <rPr>
        <sz val="11"/>
        <color theme="1"/>
        <rFont val="Segoe UI"/>
        <family val="2"/>
        <scheme val="minor"/>
      </rPr>
      <t>across industry organisations with &gt;5000 employees (FY17)</t>
    </r>
  </si>
  <si>
    <t>1) Approach one: across organisations from the same industry (&gt;5000 employees) group, we identified the percentage of female and male employees across the four occupational subgroups. As we do not have the actual employee breakdown for each of the four subgroups, we assumed it would be the same as Organisation's employee breakdown. The industry HHI is approximated as 0.512.
2) Approach two: For Competitor X, we also assumed its employee breakdown would be the same as Organisation's employee breakdown to approximate its HHI as 0.531.</t>
  </si>
  <si>
    <t xml:space="preserve">We conservatively assume that having a more diverse senior team would increase revenue by the same dollar amount as the increase in EBIT.
1) Under approach one, we conservatively estimate the revenue gain from flexible work arrangements using the industry as a comparison (due to a gender-diverse senior management team with varying backgrounds and perspectives) as $37k.
2) Under approach two, we optimistically estimate the revenue gain from flexible work arrangements using Competitor X as a comparison (due to a gender-diverse senior management team with varying backgrounds and perspectives) as $97k.
</t>
  </si>
  <si>
    <t>As a result of flexible work arrangements, Organisation makes an additional $37k per year due to increased productivity as a result of a more gender-diverse senior management team. This is a conservative estimate as our modelling shows that revenue gain could have been as high as $97 per year.</t>
  </si>
  <si>
    <t xml:space="preserve">We calculate the average impact of flexible work arrangements on the organisation's workforce productivity by multiplying the survey responses on the proportion of employees experiencing varying degrees of productivity change with the estimated productivity change values. It comes to an 8% increase in overall workforce productivity due to flexible work arrangements. 
</t>
  </si>
  <si>
    <t xml:space="preserve">We then calculate the salary saving due to flexible work arrangements based on this 8% productivity increase, assuming that the organisation would have to pay a corresponding amount less in salaries to do the same amount of work in the absence of this increased productivity. We have used FY17 salary expenditure data provided by the organisation. This totals to $29m (FY17).
</t>
  </si>
  <si>
    <t xml:space="preserve">We administered a survey on flexible working to employees across the organisation. Of the 200 respondents, 150 work flexibly. Of this 150, 58% reported that flexible working makes them a lot more productive, 31% reported it makes them a little more productive, 11% reported it had no productivity impact or a negative productivity impact. We assume this is representative of the portion of the workforce who work flexibly. We split the analysis by men and women, given the potentially different uptake (and potentially different experience) of flexible work between the two genders. </t>
  </si>
  <si>
    <t>As a result of flexible work arrangements, the organisation saves $480k each year on recruitment cost due to increased employer attractiveness (based on FY17 data).</t>
  </si>
  <si>
    <t>Assumed not to join the organisation in the absence of flexible work arrangements</t>
  </si>
  <si>
    <t xml:space="preserve">We aggregate the three scenarios into total recruitment cost savings to the organisation as a result for having flexible work arrangements as: $484k. </t>
  </si>
  <si>
    <t xml:space="preserve">We calculate the organisation's cost savings for having flexible work arrangements in terms of recruitment. This is calculated as the number of roles that would not have been filled by their current candidate if there were no flexible work arrangements, and then a cost estimate of the three different scenarios under which this role would need to be filled by a different candidate:
a) filled by another suitable candidate;
b) vacant for longer;
c) filled by the 'wrong person' (a bad hire).
</t>
  </si>
  <si>
    <t xml:space="preserve">We administered a survey on flexible working to employees across the organisation. Of the 200 respondents, 150 work flexibly. Of this 150, 5% reported that flexible work is the main reason they joined the the organisation, while 33% reported that it was one of the main reasons they joined the the organisation. We assume this is representative of the entire workforce who works flexibly and of prospective employees. This accords with data compiled by the employment marketplace, Seek, which found that work-life balance (which includes flexibility) is the second most important 'driver of attraction' in the government industry.
We assume that of the 5% who reported flexible working to be the main reason they joined, none of them would work at the organisation without flexible working. Of the 33% for whom it was one of the main reasons to join, one third of them would not work at the organisation without flexible working. We consider this a conservative assumption. In other words, around 15% of the organisation's new hires  would not work there if it was not for flexible work arrangements. 
We have also split this analysis by gender to tease out the assumption that when making recruitment decisions women value flexible work more than men value it. This is based on an Routledge research paper, which has found that "at every life stage women valued almost every flexible work option more than men valued them." Based on this analysis, 18% of female new hires would not have joined the organisation in the absence of flexible work arrangements and only 11% of men would not have joined. 
</t>
  </si>
  <si>
    <t xml:space="preserve">We approximated the number of people who would leave the organisation if it wasn't for flexible work arrangements (using survey data), then calculated the costs of hiring a new candidate to fill this position: 
a) direct recruitment costs, and
b) indirect costs of employee turnover (lost productivity, training costs)
</t>
  </si>
  <si>
    <t>As a result of flexible work arrangements, the organisation saves $4.6m on additional recruitment and training costs each year due to reduced employee turnover (based on FY17 data).</t>
  </si>
  <si>
    <t xml:space="preserve">We first approximate the number of employees who would have left the organisation in the absence of flexible work arrangements.
We administered a survey on flexible working to employees across the organisation. Of the 200 respondents, 150 work flexibly. Of this 150,  17% reported that "flexible work is the main reason I continue to work here (I couldn't work here without it!)", while 59% reported that "flexible work is one of the main reasons I continue to work here". We conservatively assume this is representative of the portion of the workforce who work flexibly.
</t>
  </si>
  <si>
    <t xml:space="preserve">We calculate the organisation's cost savings for having flexible work arrangements in terms of absenteeism. Due to flexible work arrangements, there has been cost savings from reduced unplanned absenteeism. This is calculated as the portion of employees on leave (including sick leave, carers’ leave, compassionate leave, parental leave, jury duty, etc.) who has the option to telework from home or another location.
</t>
  </si>
  <si>
    <t>As a result of flexible work arrangements, the organisation saves $1.8m from reduced unplanned absence costs due to the availability of teleworking from home (based on FY17 data).</t>
  </si>
  <si>
    <t>We confirmed the amount of sick leave and carers leave taken in FY17 at the organisation. Based on Administrative data, average sick leave and carers leave in 2017 was 8 days/FTE. 
According to the Australian Public Service Commission, unscheduled absence includes five categories of absence: sick leave, carer's leave, compensation leave, miscellaneous leave and unauthorised absence. 
We assume that sick leave  hours consist of 73% of overall unplanned absence hours and carers leave hours consist of 15% of overall unplanned absence hours (i.e. a total of 88%). This is based on an Australian Public Service Commission (APS) publication, which found sick leave made up 72.6% to 76.3% of unplanned absences of APS employees based on the year sampled (2009/10 to 2013/14). The sample publication found that carers leave made up 14.7% to 16.3% of unplanned absences.</t>
  </si>
  <si>
    <t xml:space="preserve">To evaluate how flexible work arrangements will impact different roles, we first identified the different occupational groups at the organisation in terms of their ability to telework. We separate the organisation's occupational groups into two categories:
a) Have the option to telework;
b) Do not have the option to telework.
We assume that office staff have the option to telework while field staff don't. </t>
  </si>
  <si>
    <t>We then assume that, for employees with the option to telework, flexibility workplace arrangements reduce unscheduled absences by 63%. This is based onresearch done by American Management Association, which found that businesses with a telework program realised a 63% reduction in unscheduled absences (for employees who have the option to telework).</t>
  </si>
  <si>
    <t>Why Are Companies Still Scared of Telecommuting?</t>
  </si>
  <si>
    <t xml:space="preserve">We aggregate the two categories into a total figure of reduced absenteeism cost savings to the organisation as a result for having flexible work arrangements as: $1.8m. </t>
  </si>
  <si>
    <t>We calculate the organisation's cost additions for having flexible work arrangements in terms of increased management costs. Due to flexible work arrangements, there have been two management cost additions:
a) managerial cost (direct), and
b) overhead cost (indirect).</t>
  </si>
  <si>
    <t>As a result of flexible work arrangements, the organisation incurs an additional $3.5m each year in management costs. This is comprised of $2.6m due to increased supervision time required to manage flex employees with heterogeneous responsibilities, and $900k due to increased overhead costs (including HR and finance support) required to manage additional employees.</t>
  </si>
  <si>
    <t>a) Increased managerial cost (direct)
We assumed that, on average, managers spend 25% of their time supervising their team. This is based on a McKinsey report (2009), which has found that "(Managers) spend only 10% to 40% (of time) actually managing frontline employees by, for example, coaching them directly". This research looks at how frontline managers from industries with distributed networks of sites and employees allocate their time; we therefore assume that this is representative of Organisation.
We then assume that managers require more time to manage flex teams. For example, managers require additional time when supervising two part-time employees instead of one full-time employee (nibusinessinfo.co.uk, 2017). Therefore we assume that managers require an additional 5% supervision time when managing flex employees. In the absence of flexible work arrangements, managers would have been able to focus that time on productive activities.</t>
  </si>
  <si>
    <t>b) Increased overhead cost (indirect)
We assume that a larger workforce would incur greater overhead costs. Due to the uptake of part-time employees, the organisation's FY17  FTE is smaller than the size of its workforce. Therefore as a result of flexible work arrangements, the organisation had to hire an additional 500 employees in FY17. In other words, if the organisation only hired full time employees, it could reduce its workforce by 500 positions.</t>
  </si>
  <si>
    <t xml:space="preserve">We calculate the cost addition to the organisation for having flexible work arrangements in terms of onboarding cost (i.e. recruitment and training costs). Due to flexible work arrangements, Organisation has a larger workforce than if it had only accepted full-time employees (i.e. comparing the actual number of employees against FTE). Hence there have been  cost additions from onboarding additional flex employees in terms of both recruitment and training. </t>
  </si>
  <si>
    <t>As a result of flexible work arrangements, the organisation incurs an additional $2.7m each year in recruitment and training costs from on-boarding additional flex employees.</t>
  </si>
  <si>
    <t>We assume that a larger workforce would incur greater onboarding costs as the organisation needs to recruit and training each employee. Due to the uptake of part-time employees, the organisation's FY17 FTE is smaller than the size of its workforce. We calculated the ratio of FTE to workforce as 0.75.</t>
  </si>
  <si>
    <t>We calculate the cost addition to the organisation for having flexible work arrangements in terms of implementation costs. We identified and calculated the two costs of effective flexibility implementation:
a) awareness training cost, and
b) program management cost.</t>
  </si>
  <si>
    <t>As a result of flexible work arrangements, the organisation incurs an additional $400k each year in flexible work implementation costs due to awareness training (which takes up employee's productive time) and program management (i.e. HR needs to manage the organisation's flex policy and process flexibility requests).</t>
  </si>
  <si>
    <t xml:space="preserve">We identified two flexible work implementation costs:
a) awareness training cost (i.e. employees need to be educated / trained on what flex options are available at the organisation), and
b) program management cost (i.e. HR needs to manage / update flexibility workplace arrangements and approve flexibility requests)*.
*Note, for this analysis, we are only concerned with ongoing annual implementation costs of the organisation's flexible work arrangements. We are not concerned with the initial roll-out costs.
</t>
  </si>
  <si>
    <t xml:space="preserve">a) Awareness training cost
We assume that, on average, each employee at the organisation spends approximately two and a half hours per year (0.3 days) in some kind of training or awareness activity for workplace flexibility. We calculate the associated salary costs resulting from the corresponding loss of productive time as: $327k. 
</t>
  </si>
  <si>
    <t>b) Program management cost
To ensure an effective and competitive flex policy is in place, the organisation's HR is responsible for managing its flexible work arrangements (e.g. making updates to the policy, scheduling training sessions and resolving flexibility related disputes, processing flexibility claims etc.). Based on discussion with Director Culture and Organisational Development, the organisation's HR team spends approximately 1% of their time managing its flexible work arrangements. We then calculate the program management cost in FY17 as a result for having flexible work arrangements as: $70k.</t>
  </si>
  <si>
    <t>Conversations with the organisation's Director of Culture and Organisational Development</t>
  </si>
  <si>
    <t>We calculate the cost addition to the organisation for having flexible work arrangements in terms of IT costs. This is calculated as the increased IT expense on a larger workforce (i.e. comparing the actual number of employees against FTE) due to flexibility workplace arrangements.</t>
  </si>
  <si>
    <t xml:space="preserve">We assume that a larger workforce would incur greater IT spend, since IT need to set each and every employee with the relevant IT equipment.  Due to the uptake of part-time employees, the organisation's FY17 FTE is smaller than the size of its workforce. Therefore as a result of flexible work arrangements, the organisation had to hire an additional 500 employees in FY17. </t>
  </si>
  <si>
    <t>Based on discussions with the organisation, the annual IT expense for FY17 are as follows:
a) Group A employees (high IT-demand roles): $5000/employee for all IT needs (annually)
b) Group B employees (standard IT-demand roles): $1000/employee for all IT needs (annually)
Note, we recognise that new hires would require additional IT training. The corresponding cost is not included in this analysis as it is already included in B1 - Management Burden.</t>
  </si>
  <si>
    <t>We calculate the cost addition to the organisation for having flexible work arrangements in terms of office rental expense. This is calculated as the increased office rental for a larger workforce (i.e. comparing the difference between FTE and head-count) due to flexible work arrangements.</t>
  </si>
  <si>
    <t xml:space="preserve">As a result of flexible work arrangements, the organisation incurs an additional $250k each year in office rental costs due to a larger workforce requiring fixed office space (headcount larger than FTE). </t>
  </si>
  <si>
    <t>Due to the uptake of part-time work, the organisation’s headcount is much larger than its required FTE. This means that the organisation requires greater office space (and hence greater rental costs) to accommodate additional corporate staff who require fixed desks (i.e. as opposed to hot-desks). We calculate the cost addition of having ‘surplus’ desks by looking at the difference between FTE and head-count and applying the difference to the office rental expense.</t>
  </si>
  <si>
    <t>We calculate the cost addition to the organisation for having flexible work arrangements in terms of backfill cost (for employees who take extended leave). This is calculated as the contractor surcharge required to fill employees on extended leave.</t>
  </si>
  <si>
    <t>The organisation incurs an additional $72,000 per year in salary expenses to contractors or staff required to backfill employees taking extended leave.</t>
  </si>
  <si>
    <t xml:space="preserve">One type of flexible work arrangement is extended leave, which can include purchased leave, leave at half pay etc. By enabling employees to take extended leave, organisations may incur extra costs associated with backfilling the gaps left by these employees with other employees (e.g. contractors or casual staff).  These 'backfill employees' will often be required to be paid a premium beyond the salary that would have been paid to the original employee. 
At the organisation in 2016-17, the equivalent of 40 FTE took additional leave (purchased leave or leave at half pay).
We assume that majority of the gaps created by employees on extended leave (80%) have been filled up by other employees, and the remaining (20%) have been filled up by contractors (due to a lack of suitable substitutes). For the former, we assume there is no additional cost. For the latter, we assume Organisation would pay a 10% premium on a typical salary.
</t>
  </si>
  <si>
    <t>https://www.ihire.com/employer/resources/pages/can-your-company-afford-the-cost-of-a-bad-hire</t>
  </si>
  <si>
    <t>Rohner, F</t>
  </si>
  <si>
    <t>Can your company afford the cost of a bad hire?</t>
  </si>
  <si>
    <t>How to use this model</t>
  </si>
  <si>
    <t>Modelling the impacts of flexible work on organisational performance</t>
  </si>
  <si>
    <t>Overview of the key findings</t>
  </si>
  <si>
    <t xml:space="preserve">This excel workbook is a de-identified version of the excel model built for the three case study organisations. We have generalised the model and inserted 'dummy' data to protect confidentiality of sensitive information. 
The analysis method is presented as step-by-step instructions on each tab. 
Each tab records the calculations for each respective benefit (cost saving) or cost (cost addition). These are pulled into the overall summary of findings on this front page. We have calculated:
- the overall annual net impact of the model
- the annual net impact as a proportion of overall revenue 
- the five year projected impact, assuming status quo for organisational context and flexibility implementation.
Organisations may seek to use the model as provided and simply enter their own data. Calculations will update automatically. For organisations seeking to perform their own analysis of the impacts of flexible work on their organisation, this workbook will serve as a useful template. Note the key on each page (copied to the right): raw data directly from organisations' administrative data or the flexible work survey we administered is presented in clear cells. Organisations should enter their own administrative and survey data here. Cells which have assumptions are shown in pink, with explanations and references for the assumptions provided. Organisations may wish to vary the assumptions to reflect additional evidence or to suit their own unique circumstances. Cells in blue present calculations based on raw data or assumptions. Amending these changes the model itself and allows organisations to add aditional features to the model. Care should be taken with these cells to preserve the overall logic.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</si>
</sst>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quot;$&quot;#,##0"/>
    <numFmt numFmtId="166" formatCode="0.0000"/>
    <numFmt numFmtId="167" formatCode="0.0%"/>
    <numFmt numFmtId="168" formatCode="_-* #,##0_-;\-* #,##0_-;_-* &quot;-&quot;??_-;_-@_-"/>
    <numFmt numFmtId="169" formatCode="_-&quot;$&quot;* #,##0_-;\-&quot;$&quot;* #,##0_-;_-&quot;$&quot;* &quot;-&quot;??_-;_-@_-"/>
    <numFmt numFmtId="170" formatCode="#,##0.0"/>
    <numFmt numFmtId="171" formatCode="_-* #,##0.0_-;\-* #,##0.0_-;_-* &quot;-&quot;??_-;_-@_-"/>
    <numFmt numFmtId="172" formatCode="0.0"/>
    <numFmt numFmtId="173" formatCode="0.000"/>
    <numFmt numFmtId="174" formatCode="0.000%"/>
  </numFmts>
  <fonts count="17" x14ac:knownFonts="1">
    <font>
      <sz val="11"/>
      <color theme="1"/>
      <name val="Segoe UI"/>
      <family val="2"/>
      <scheme val="minor"/>
    </font>
    <font>
      <sz val="11"/>
      <color theme="1"/>
      <name val="Segoe UI"/>
      <family val="2"/>
      <scheme val="minor"/>
    </font>
    <font>
      <b/>
      <sz val="11"/>
      <color theme="1"/>
      <name val="Segoe UI"/>
      <family val="2"/>
      <scheme val="minor"/>
    </font>
    <font>
      <i/>
      <sz val="11"/>
      <color theme="1"/>
      <name val="Segoe UI"/>
      <family val="2"/>
      <scheme val="minor"/>
    </font>
    <font>
      <sz val="11"/>
      <color rgb="FF000000"/>
      <name val="Calibri"/>
      <family val="2"/>
      <charset val="204"/>
    </font>
    <font>
      <sz val="10"/>
      <color rgb="FF000000"/>
      <name val="Times New Roman"/>
      <family val="1"/>
    </font>
    <font>
      <b/>
      <sz val="11"/>
      <color rgb="FFFF0000"/>
      <name val="Segoe UI"/>
      <family val="2"/>
      <scheme val="minor"/>
    </font>
    <font>
      <sz val="11"/>
      <color rgb="FFFF0000"/>
      <name val="Segoe UI"/>
      <family val="2"/>
      <scheme val="minor"/>
    </font>
    <font>
      <sz val="11"/>
      <name val="Segoe UI"/>
      <family val="2"/>
      <scheme val="minor"/>
    </font>
    <font>
      <u/>
      <sz val="11"/>
      <color theme="10"/>
      <name val="Segoe UI"/>
      <family val="2"/>
      <scheme val="minor"/>
    </font>
    <font>
      <sz val="11"/>
      <color rgb="FF000000"/>
      <name val="Calibri"/>
      <family val="2"/>
    </font>
    <font>
      <b/>
      <sz val="11"/>
      <color rgb="FF000000"/>
      <name val="Calibri"/>
      <family val="2"/>
    </font>
    <font>
      <sz val="10"/>
      <color rgb="FF000000"/>
      <name val="Times New Roman"/>
      <family val="1"/>
    </font>
    <font>
      <sz val="11"/>
      <name val="Calibri"/>
      <family val="2"/>
    </font>
    <font>
      <b/>
      <sz val="11"/>
      <name val="Segoe UI"/>
      <family val="2"/>
      <scheme val="minor"/>
    </font>
    <font>
      <sz val="11"/>
      <color rgb="FF000000"/>
      <name val="Segoe UI"/>
      <family val="2"/>
      <scheme val="minor"/>
    </font>
    <font>
      <b/>
      <sz val="11"/>
      <color rgb="FF000000"/>
      <name val="Segoe U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7"/>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bgColor indexed="64"/>
      </patternFill>
    </fill>
  </fills>
  <borders count="16">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9">
    <xf numFmtId="0" fontId="0"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9" fontId="1"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0" fontId="12" fillId="0" borderId="0"/>
    <xf numFmtId="9" fontId="12" fillId="0" borderId="0" applyFont="0" applyFill="0" applyBorder="0" applyAlignment="0" applyProtection="0"/>
    <xf numFmtId="9" fontId="5" fillId="0" borderId="0" applyFont="0" applyFill="0" applyBorder="0" applyAlignment="0" applyProtection="0"/>
    <xf numFmtId="0" fontId="12" fillId="0" borderId="0"/>
    <xf numFmtId="9" fontId="12" fillId="0" borderId="0" applyFont="0" applyFill="0" applyBorder="0" applyAlignment="0" applyProtection="0"/>
    <xf numFmtId="0" fontId="5" fillId="0" borderId="0"/>
    <xf numFmtId="9" fontId="5" fillId="0" borderId="0" applyFont="0" applyFill="0" applyBorder="0" applyAlignment="0" applyProtection="0"/>
  </cellStyleXfs>
  <cellXfs count="477">
    <xf numFmtId="0" fontId="0" fillId="0" borderId="0" xfId="0"/>
    <xf numFmtId="3" fontId="0" fillId="0" borderId="0" xfId="0" applyNumberFormat="1" applyFill="1"/>
    <xf numFmtId="0" fontId="0" fillId="0" borderId="0" xfId="0" applyFill="1"/>
    <xf numFmtId="9" fontId="0" fillId="0" borderId="0" xfId="0" applyNumberFormat="1" applyFill="1"/>
    <xf numFmtId="0" fontId="0" fillId="0" borderId="0" xfId="0"/>
    <xf numFmtId="3" fontId="0" fillId="0" borderId="0" xfId="0" applyNumberFormat="1"/>
    <xf numFmtId="0" fontId="0" fillId="5" borderId="0" xfId="0" applyFill="1"/>
    <xf numFmtId="0" fontId="0" fillId="0" borderId="1" xfId="0" applyBorder="1"/>
    <xf numFmtId="0" fontId="0" fillId="6" borderId="0" xfId="0" applyFill="1"/>
    <xf numFmtId="1" fontId="0" fillId="0" borderId="0" xfId="0" applyNumberFormat="1" applyFill="1"/>
    <xf numFmtId="0" fontId="0" fillId="0" borderId="0" xfId="0" applyAlignment="1">
      <alignment vertical="center"/>
    </xf>
    <xf numFmtId="9" fontId="0" fillId="0" borderId="0" xfId="1" applyFont="1"/>
    <xf numFmtId="0" fontId="0" fillId="0" borderId="0" xfId="0" applyFill="1" applyBorder="1" applyAlignment="1"/>
    <xf numFmtId="0" fontId="0" fillId="0" borderId="0" xfId="0" applyBorder="1"/>
    <xf numFmtId="0" fontId="0" fillId="0" borderId="0" xfId="0" applyFill="1" applyAlignment="1">
      <alignment vertical="center"/>
    </xf>
    <xf numFmtId="0" fontId="2" fillId="6" borderId="0" xfId="0" applyFont="1" applyFill="1"/>
    <xf numFmtId="0" fontId="0" fillId="0" borderId="0" xfId="0" applyAlignment="1">
      <alignment horizontal="left" vertical="top" wrapText="1"/>
    </xf>
    <xf numFmtId="0" fontId="0" fillId="0" borderId="0" xfId="0" applyAlignment="1"/>
    <xf numFmtId="0" fontId="7" fillId="0" borderId="0" xfId="0" applyFont="1"/>
    <xf numFmtId="0" fontId="2" fillId="0" borderId="0" xfId="0" applyFont="1" applyFill="1"/>
    <xf numFmtId="0" fontId="0" fillId="0" borderId="0" xfId="0" applyFont="1"/>
    <xf numFmtId="0" fontId="0" fillId="0" borderId="0" xfId="0" applyAlignment="1">
      <alignment vertical="top" wrapText="1"/>
    </xf>
    <xf numFmtId="166" fontId="0" fillId="0" borderId="0" xfId="0" applyNumberFormat="1" applyFill="1"/>
    <xf numFmtId="1" fontId="0" fillId="0" borderId="0" xfId="0" applyNumberFormat="1"/>
    <xf numFmtId="9" fontId="0" fillId="0" borderId="0" xfId="1" applyFont="1" applyFill="1"/>
    <xf numFmtId="0" fontId="2" fillId="5" borderId="0" xfId="0" applyFont="1" applyFill="1"/>
    <xf numFmtId="0" fontId="2" fillId="0" borderId="0" xfId="0" applyFont="1" applyBorder="1" applyAlignment="1">
      <alignment horizontal="right"/>
    </xf>
    <xf numFmtId="0" fontId="2" fillId="5" borderId="0" xfId="0" applyFont="1" applyFill="1" applyAlignment="1">
      <alignment vertical="center"/>
    </xf>
    <xf numFmtId="0" fontId="0" fillId="6" borderId="0" xfId="0" applyFill="1" applyAlignment="1">
      <alignment vertical="top"/>
    </xf>
    <xf numFmtId="0" fontId="0" fillId="0" borderId="0" xfId="0" applyFont="1" applyAlignment="1">
      <alignment vertical="top" wrapText="1"/>
    </xf>
    <xf numFmtId="0" fontId="0" fillId="0" borderId="0" xfId="0" applyFont="1" applyAlignment="1">
      <alignment wrapText="1"/>
    </xf>
    <xf numFmtId="0" fontId="0" fillId="0" borderId="0" xfId="0" applyFill="1" applyAlignment="1">
      <alignment horizontal="left" vertical="top" wrapText="1"/>
    </xf>
    <xf numFmtId="0" fontId="0" fillId="0" borderId="0" xfId="0" applyFill="1" applyBorder="1"/>
    <xf numFmtId="0" fontId="0" fillId="0" borderId="1" xfId="0" applyFill="1" applyBorder="1"/>
    <xf numFmtId="0" fontId="0" fillId="0" borderId="0" xfId="0" applyFill="1" applyAlignment="1"/>
    <xf numFmtId="0" fontId="0" fillId="0" borderId="0" xfId="0" applyFill="1" applyAlignment="1">
      <alignment vertical="top" wrapText="1"/>
    </xf>
    <xf numFmtId="0" fontId="3" fillId="0" borderId="0" xfId="0" applyFont="1"/>
    <xf numFmtId="0" fontId="0" fillId="0" borderId="1" xfId="0" applyBorder="1" applyAlignment="1">
      <alignment wrapText="1"/>
    </xf>
    <xf numFmtId="0" fontId="0" fillId="0" borderId="1" xfId="0" applyBorder="1" applyAlignment="1">
      <alignment vertical="center"/>
    </xf>
    <xf numFmtId="14" fontId="0" fillId="0" borderId="0" xfId="0" applyNumberFormat="1" applyFill="1"/>
    <xf numFmtId="167" fontId="0" fillId="0" borderId="0" xfId="1" applyNumberFormat="1" applyFont="1" applyFill="1"/>
    <xf numFmtId="0" fontId="9" fillId="0" borderId="0" xfId="10"/>
    <xf numFmtId="0" fontId="2" fillId="6" borderId="0" xfId="0" applyFont="1" applyFill="1" applyAlignment="1">
      <alignment vertical="center" wrapText="1"/>
    </xf>
    <xf numFmtId="0" fontId="2" fillId="6" borderId="0" xfId="0" applyFont="1" applyFill="1" applyAlignment="1">
      <alignment horizontal="left" vertical="center" wrapText="1"/>
    </xf>
    <xf numFmtId="0" fontId="2" fillId="0" borderId="0" xfId="0" applyFont="1" applyFill="1" applyBorder="1" applyAlignment="1">
      <alignment vertical="top" wrapText="1"/>
    </xf>
    <xf numFmtId="0" fontId="2" fillId="6" borderId="0" xfId="0" applyFont="1" applyFill="1" applyAlignment="1">
      <alignment vertical="top"/>
    </xf>
    <xf numFmtId="0" fontId="2" fillId="6" borderId="0" xfId="0" applyFont="1" applyFill="1" applyAlignment="1">
      <alignment vertical="top" wrapText="1"/>
    </xf>
    <xf numFmtId="0" fontId="0" fillId="0" borderId="0" xfId="0" applyFill="1" applyBorder="1" applyAlignment="1"/>
    <xf numFmtId="3" fontId="0" fillId="0" borderId="0" xfId="0" applyNumberFormat="1" applyFill="1"/>
    <xf numFmtId="1" fontId="2" fillId="6" borderId="0" xfId="0" applyNumberFormat="1" applyFont="1" applyFill="1"/>
    <xf numFmtId="9" fontId="0" fillId="6" borderId="0" xfId="1" applyFont="1" applyFill="1"/>
    <xf numFmtId="0" fontId="0" fillId="0" borderId="0" xfId="0" applyFont="1" applyFill="1" applyBorder="1" applyAlignment="1">
      <alignment vertical="top" wrapText="1"/>
    </xf>
    <xf numFmtId="0" fontId="0" fillId="0" borderId="0" xfId="0"/>
    <xf numFmtId="0" fontId="0" fillId="0" borderId="0" xfId="0" applyFill="1"/>
    <xf numFmtId="9" fontId="0" fillId="0" borderId="0" xfId="1" applyFont="1" applyFill="1"/>
    <xf numFmtId="1" fontId="0" fillId="0" borderId="0" xfId="0" applyNumberFormat="1" applyFill="1"/>
    <xf numFmtId="0" fontId="0" fillId="0" borderId="0" xfId="0" applyAlignment="1">
      <alignment vertical="top" wrapText="1"/>
    </xf>
    <xf numFmtId="164" fontId="0" fillId="0" borderId="0" xfId="9" applyNumberFormat="1" applyFont="1" applyFill="1"/>
    <xf numFmtId="0" fontId="11" fillId="0" borderId="0" xfId="0" applyFont="1" applyAlignment="1">
      <alignment vertical="top" wrapText="1"/>
    </xf>
    <xf numFmtId="9" fontId="0" fillId="0" borderId="2" xfId="1" applyFont="1" applyBorder="1"/>
    <xf numFmtId="167" fontId="2" fillId="6" borderId="0" xfId="1" applyNumberFormat="1" applyFont="1" applyFill="1" applyAlignment="1">
      <alignment vertical="center" wrapText="1"/>
    </xf>
    <xf numFmtId="0" fontId="10" fillId="0" borderId="0" xfId="0" applyFont="1" applyAlignment="1">
      <alignment vertical="top" wrapText="1"/>
    </xf>
    <xf numFmtId="9" fontId="6" fillId="0" borderId="0" xfId="1" applyNumberFormat="1" applyFont="1" applyFill="1"/>
    <xf numFmtId="0" fontId="2" fillId="6" borderId="0" xfId="0" applyFont="1" applyFill="1" applyAlignment="1">
      <alignment vertical="center"/>
    </xf>
    <xf numFmtId="0" fontId="9" fillId="0" borderId="0" xfId="10" applyFill="1"/>
    <xf numFmtId="165" fontId="8" fillId="0" borderId="0" xfId="9" applyNumberFormat="1" applyFont="1" applyFill="1" applyAlignment="1">
      <alignment horizontal="left"/>
    </xf>
    <xf numFmtId="14" fontId="0" fillId="0" borderId="0" xfId="1" applyNumberFormat="1" applyFont="1" applyFill="1"/>
    <xf numFmtId="9" fontId="8" fillId="0" borderId="0" xfId="1" applyNumberFormat="1" applyFont="1" applyFill="1"/>
    <xf numFmtId="9" fontId="8" fillId="0" borderId="0" xfId="1" applyNumberFormat="1" applyFont="1" applyFill="1" applyBorder="1"/>
    <xf numFmtId="0" fontId="9" fillId="0" borderId="0" xfId="10" applyFill="1" applyBorder="1"/>
    <xf numFmtId="14" fontId="0" fillId="0" borderId="0" xfId="0" applyNumberFormat="1" applyFill="1" applyBorder="1"/>
    <xf numFmtId="165" fontId="0" fillId="2" borderId="3" xfId="0" applyNumberFormat="1" applyFont="1" applyFill="1" applyBorder="1"/>
    <xf numFmtId="0" fontId="0" fillId="0" borderId="1" xfId="0" applyBorder="1" applyAlignment="1">
      <alignment vertical="top" wrapText="1"/>
    </xf>
    <xf numFmtId="0" fontId="2" fillId="0" borderId="1" xfId="0" applyFont="1" applyBorder="1" applyAlignment="1">
      <alignment horizontal="right" vertical="top"/>
    </xf>
    <xf numFmtId="0" fontId="0" fillId="0" borderId="0" xfId="0" applyFont="1" applyFill="1" applyBorder="1"/>
    <xf numFmtId="0" fontId="9" fillId="0" borderId="0" xfId="10" applyFont="1" applyFill="1" applyBorder="1"/>
    <xf numFmtId="14" fontId="0" fillId="0" borderId="0" xfId="0" applyNumberFormat="1" applyFont="1" applyFill="1" applyBorder="1"/>
    <xf numFmtId="0" fontId="0" fillId="0" borderId="0" xfId="0" applyFont="1" applyFill="1" applyAlignment="1"/>
    <xf numFmtId="0" fontId="0" fillId="0" borderId="0" xfId="0" applyAlignment="1">
      <alignment horizontal="left" vertical="top" wrapText="1"/>
    </xf>
    <xf numFmtId="0" fontId="8" fillId="0" borderId="0" xfId="0" applyFont="1" applyFill="1"/>
    <xf numFmtId="0" fontId="14" fillId="6" borderId="0" xfId="0" applyFont="1" applyFill="1" applyAlignment="1">
      <alignment vertical="top"/>
    </xf>
    <xf numFmtId="0" fontId="14" fillId="6" borderId="0" xfId="0" applyFont="1" applyFill="1" applyAlignment="1">
      <alignment vertical="top" wrapText="1"/>
    </xf>
    <xf numFmtId="0" fontId="8" fillId="0" borderId="0" xfId="0" applyFont="1" applyFill="1" applyBorder="1"/>
    <xf numFmtId="0" fontId="8" fillId="0" borderId="0" xfId="0" applyFont="1"/>
    <xf numFmtId="0" fontId="8" fillId="0" borderId="0" xfId="0" applyFont="1" applyAlignment="1">
      <alignment vertical="top" wrapText="1"/>
    </xf>
    <xf numFmtId="0" fontId="14" fillId="0" borderId="0" xfId="0" applyFont="1"/>
    <xf numFmtId="0" fontId="14" fillId="6" borderId="0" xfId="0" applyFont="1" applyFill="1" applyAlignment="1">
      <alignment vertical="center" wrapText="1"/>
    </xf>
    <xf numFmtId="0" fontId="8" fillId="0" borderId="0" xfId="0" applyFont="1" applyFill="1" applyAlignment="1">
      <alignment vertical="center" wrapText="1"/>
    </xf>
    <xf numFmtId="0" fontId="0" fillId="0" borderId="0" xfId="1" applyNumberFormat="1" applyFont="1" applyFill="1"/>
    <xf numFmtId="0" fontId="14" fillId="0" borderId="0" xfId="0" applyFont="1" applyFill="1" applyAlignment="1">
      <alignment vertical="center" wrapText="1"/>
    </xf>
    <xf numFmtId="0" fontId="0" fillId="0" borderId="0" xfId="0" applyFill="1" applyAlignment="1">
      <alignment vertical="top"/>
    </xf>
    <xf numFmtId="8" fontId="0" fillId="0" borderId="0" xfId="0" applyNumberFormat="1"/>
    <xf numFmtId="6" fontId="6" fillId="0" borderId="0" xfId="0" applyNumberFormat="1" applyFont="1" applyFill="1"/>
    <xf numFmtId="165" fontId="6" fillId="0" borderId="0" xfId="9" applyNumberFormat="1" applyFont="1" applyFill="1" applyAlignment="1">
      <alignment horizontal="left"/>
    </xf>
    <xf numFmtId="0" fontId="0" fillId="0" borderId="0" xfId="0" applyFont="1" applyFill="1" applyBorder="1" applyAlignment="1">
      <alignment vertical="top"/>
    </xf>
    <xf numFmtId="165" fontId="6" fillId="0" borderId="0" xfId="9" applyNumberFormat="1" applyFont="1" applyFill="1" applyAlignment="1">
      <alignment vertical="center" wrapText="1"/>
    </xf>
    <xf numFmtId="164" fontId="0" fillId="0" borderId="0" xfId="0" applyNumberFormat="1" applyFill="1"/>
    <xf numFmtId="165" fontId="0" fillId="0" borderId="0" xfId="0" applyNumberFormat="1" applyFill="1"/>
    <xf numFmtId="164" fontId="0" fillId="0" borderId="3" xfId="0" applyNumberFormat="1" applyFill="1" applyBorder="1"/>
    <xf numFmtId="9" fontId="0" fillId="0" borderId="0" xfId="0" applyNumberFormat="1" applyFont="1" applyFill="1" applyBorder="1" applyAlignment="1">
      <alignment vertical="top" wrapText="1"/>
    </xf>
    <xf numFmtId="1" fontId="2" fillId="6" borderId="0" xfId="0" applyNumberFormat="1" applyFont="1" applyFill="1" applyAlignment="1">
      <alignment vertical="top" wrapText="1"/>
    </xf>
    <xf numFmtId="0" fontId="0" fillId="0" borderId="0" xfId="0" applyAlignment="1">
      <alignment horizontal="left" vertical="top" wrapText="1"/>
    </xf>
    <xf numFmtId="168" fontId="0" fillId="0" borderId="0" xfId="0" applyNumberFormat="1" applyFill="1"/>
    <xf numFmtId="6" fontId="8" fillId="2" borderId="3" xfId="0" applyNumberFormat="1" applyFont="1" applyFill="1" applyBorder="1"/>
    <xf numFmtId="0" fontId="13" fillId="0" borderId="0" xfId="0" applyFont="1" applyFill="1" applyAlignment="1">
      <alignment vertical="top" wrapText="1"/>
    </xf>
    <xf numFmtId="0" fontId="2" fillId="6" borderId="0" xfId="0" applyFont="1" applyFill="1" applyBorder="1" applyAlignment="1">
      <alignment vertical="top" wrapText="1"/>
    </xf>
    <xf numFmtId="0" fontId="0" fillId="3" borderId="0" xfId="0" applyFont="1" applyFill="1" applyBorder="1" applyAlignment="1">
      <alignment vertical="top"/>
    </xf>
    <xf numFmtId="0" fontId="0" fillId="0" borderId="0" xfId="0" applyNumberFormat="1" applyFill="1"/>
    <xf numFmtId="0" fontId="0" fillId="0" borderId="0" xfId="0" applyFont="1" applyBorder="1"/>
    <xf numFmtId="168" fontId="0" fillId="0" borderId="0" xfId="0" applyNumberFormat="1"/>
    <xf numFmtId="0" fontId="14" fillId="0" borderId="0" xfId="0" applyFont="1" applyFill="1" applyBorder="1" applyAlignment="1">
      <alignment vertical="center" wrapText="1"/>
    </xf>
    <xf numFmtId="165" fontId="0" fillId="0" borderId="0" xfId="0" applyNumberFormat="1" applyFill="1" applyBorder="1"/>
    <xf numFmtId="0" fontId="0" fillId="0" borderId="2" xfId="0" applyFill="1" applyBorder="1"/>
    <xf numFmtId="165" fontId="8" fillId="2" borderId="3" xfId="0" applyNumberFormat="1" applyFont="1" applyFill="1" applyBorder="1" applyAlignment="1">
      <alignment vertical="center" wrapText="1"/>
    </xf>
    <xf numFmtId="0" fontId="14" fillId="6" borderId="0" xfId="0" applyFont="1" applyFill="1" applyAlignment="1">
      <alignment vertical="center"/>
    </xf>
    <xf numFmtId="4" fontId="0" fillId="0" borderId="0" xfId="0" applyNumberFormat="1"/>
    <xf numFmtId="0" fontId="0" fillId="0" borderId="2" xfId="0" applyFont="1" applyFill="1" applyBorder="1"/>
    <xf numFmtId="0" fontId="0" fillId="0" borderId="0" xfId="0" applyFont="1" applyAlignment="1">
      <alignment horizontal="left" vertical="top" wrapText="1"/>
    </xf>
    <xf numFmtId="0" fontId="2" fillId="6" borderId="0" xfId="0" applyFont="1" applyFill="1" applyAlignment="1">
      <alignment horizontal="left" vertical="center" wrapText="1"/>
    </xf>
    <xf numFmtId="168" fontId="0" fillId="0" borderId="0" xfId="0" applyNumberFormat="1" applyFont="1" applyFill="1" applyBorder="1" applyAlignment="1">
      <alignment vertical="top" wrapText="1"/>
    </xf>
    <xf numFmtId="165" fontId="8" fillId="0" borderId="0" xfId="0" applyNumberFormat="1" applyFont="1" applyFill="1" applyBorder="1" applyAlignment="1">
      <alignment vertical="top" wrapText="1"/>
    </xf>
    <xf numFmtId="0" fontId="0" fillId="0" borderId="0" xfId="0" applyFont="1" applyAlignment="1">
      <alignment horizontal="left" vertical="top" wrapText="1"/>
    </xf>
    <xf numFmtId="0" fontId="0" fillId="0" borderId="0" xfId="0" applyFont="1" applyAlignment="1">
      <alignment vertical="center"/>
    </xf>
    <xf numFmtId="0" fontId="0" fillId="0" borderId="0" xfId="0" applyFont="1" applyFill="1"/>
    <xf numFmtId="0" fontId="0" fillId="0" borderId="1" xfId="0" applyFont="1" applyBorder="1" applyAlignment="1">
      <alignment vertical="center"/>
    </xf>
    <xf numFmtId="0" fontId="0" fillId="0" borderId="1" xfId="0" applyFont="1" applyBorder="1" applyAlignment="1">
      <alignment wrapText="1"/>
    </xf>
    <xf numFmtId="0" fontId="0" fillId="0" borderId="1" xfId="0" applyFont="1" applyFill="1" applyBorder="1"/>
    <xf numFmtId="0" fontId="0" fillId="0" borderId="1" xfId="0" applyFont="1" applyBorder="1"/>
    <xf numFmtId="0" fontId="0" fillId="5" borderId="0" xfId="0" applyFont="1" applyFill="1"/>
    <xf numFmtId="0" fontId="0" fillId="6" borderId="0" xfId="0" applyFont="1" applyFill="1" applyAlignment="1">
      <alignment vertical="top"/>
    </xf>
    <xf numFmtId="0" fontId="0" fillId="0" borderId="0" xfId="0" applyFont="1" applyFill="1" applyBorder="1" applyAlignment="1"/>
    <xf numFmtId="0" fontId="0" fillId="0" borderId="0" xfId="0" applyFont="1" applyAlignment="1"/>
    <xf numFmtId="0" fontId="9" fillId="0" borderId="0" xfId="10" applyFont="1"/>
    <xf numFmtId="14" fontId="0" fillId="0" borderId="0" xfId="0" applyNumberFormat="1" applyFont="1" applyFill="1"/>
    <xf numFmtId="1" fontId="0" fillId="0" borderId="0" xfId="0" applyNumberFormat="1" applyFont="1" applyFill="1"/>
    <xf numFmtId="0" fontId="0" fillId="0" borderId="2" xfId="0" applyFont="1" applyBorder="1" applyAlignment="1"/>
    <xf numFmtId="0" fontId="15" fillId="0" borderId="0" xfId="0" applyFont="1" applyAlignment="1">
      <alignment vertical="top" wrapText="1"/>
    </xf>
    <xf numFmtId="3" fontId="0" fillId="0" borderId="0" xfId="0" applyNumberFormat="1" applyFont="1" applyFill="1"/>
    <xf numFmtId="1" fontId="0" fillId="2" borderId="0" xfId="0" applyNumberFormat="1" applyFont="1" applyFill="1"/>
    <xf numFmtId="166" fontId="0" fillId="0" borderId="0" xfId="0" applyNumberFormat="1" applyFont="1" applyFill="1"/>
    <xf numFmtId="9" fontId="0" fillId="0" borderId="0" xfId="0" applyNumberFormat="1" applyFont="1"/>
    <xf numFmtId="0" fontId="0" fillId="0" borderId="0" xfId="0" applyFont="1" applyFill="1" applyAlignment="1">
      <alignment horizontal="left" vertical="top" wrapText="1"/>
    </xf>
    <xf numFmtId="1" fontId="0" fillId="0" borderId="0" xfId="0" applyNumberFormat="1" applyFont="1"/>
    <xf numFmtId="2" fontId="0" fillId="0" borderId="0" xfId="0" applyNumberFormat="1" applyFont="1" applyAlignment="1">
      <alignment vertical="top" wrapText="1"/>
    </xf>
    <xf numFmtId="0" fontId="9" fillId="0" borderId="0" xfId="10" applyFont="1" applyFill="1"/>
    <xf numFmtId="0" fontId="16" fillId="0" borderId="0" xfId="0" applyFont="1" applyAlignment="1">
      <alignment vertical="top" wrapText="1"/>
    </xf>
    <xf numFmtId="0" fontId="0" fillId="2" borderId="0" xfId="0" applyFont="1" applyFill="1"/>
    <xf numFmtId="0" fontId="0" fillId="0" borderId="2" xfId="0" applyFont="1" applyBorder="1"/>
    <xf numFmtId="0" fontId="0" fillId="0" borderId="1" xfId="0" applyFont="1" applyBorder="1" applyAlignment="1">
      <alignment vertical="top" wrapText="1"/>
    </xf>
    <xf numFmtId="0" fontId="0" fillId="0" borderId="0" xfId="0" applyNumberFormat="1" applyFont="1" applyFill="1"/>
    <xf numFmtId="165" fontId="0" fillId="0" borderId="0" xfId="0" applyNumberFormat="1" applyFont="1" applyAlignment="1">
      <alignment vertical="center" wrapText="1"/>
    </xf>
    <xf numFmtId="9" fontId="0" fillId="2" borderId="0" xfId="1" applyNumberFormat="1" applyFont="1" applyFill="1" applyBorder="1"/>
    <xf numFmtId="165" fontId="0" fillId="0" borderId="0" xfId="0" applyNumberFormat="1" applyFont="1"/>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165" fontId="0" fillId="0" borderId="0" xfId="0" applyNumberFormat="1" applyFont="1" applyFill="1" applyAlignment="1">
      <alignment vertical="center" wrapText="1"/>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vertical="center" wrapText="1"/>
    </xf>
    <xf numFmtId="165" fontId="0" fillId="0" borderId="0" xfId="0" applyNumberFormat="1" applyFont="1" applyBorder="1" applyAlignment="1">
      <alignment wrapText="1"/>
    </xf>
    <xf numFmtId="6" fontId="0" fillId="0" borderId="0" xfId="0" applyNumberFormat="1" applyFont="1" applyFill="1" applyBorder="1"/>
    <xf numFmtId="0" fontId="2" fillId="6" borderId="0" xfId="0" applyFont="1" applyFill="1" applyBorder="1" applyAlignment="1">
      <alignment horizontal="left" wrapText="1"/>
    </xf>
    <xf numFmtId="0" fontId="0" fillId="0" borderId="0" xfId="0" applyFont="1" applyAlignment="1">
      <alignment horizontal="left" vertical="top" wrapText="1"/>
    </xf>
    <xf numFmtId="0" fontId="2" fillId="6" borderId="0" xfId="0" applyFont="1" applyFill="1" applyAlignment="1">
      <alignment horizontal="left" vertical="center" wrapText="1"/>
    </xf>
    <xf numFmtId="0" fontId="0" fillId="0" borderId="0" xfId="0" applyBorder="1" applyAlignment="1">
      <alignment wrapText="1"/>
    </xf>
    <xf numFmtId="9" fontId="0" fillId="0" borderId="0" xfId="1" applyFont="1"/>
    <xf numFmtId="0" fontId="0" fillId="0" borderId="2" xfId="0" applyBorder="1"/>
    <xf numFmtId="0" fontId="0" fillId="0" borderId="0" xfId="0"/>
    <xf numFmtId="0" fontId="2" fillId="0" borderId="0" xfId="0" applyFont="1"/>
    <xf numFmtId="0" fontId="0" fillId="0" borderId="0" xfId="0" applyFill="1"/>
    <xf numFmtId="9" fontId="0" fillId="0" borderId="0" xfId="1" applyFont="1" applyFill="1"/>
    <xf numFmtId="9" fontId="0" fillId="0" borderId="0" xfId="1" applyFont="1"/>
    <xf numFmtId="0" fontId="0" fillId="0" borderId="0" xfId="0" applyFont="1"/>
    <xf numFmtId="164" fontId="8" fillId="2" borderId="0" xfId="0" applyNumberFormat="1" applyFont="1" applyFill="1" applyBorder="1"/>
    <xf numFmtId="9" fontId="0" fillId="0" borderId="0" xfId="1" applyFont="1"/>
    <xf numFmtId="0" fontId="0" fillId="0" borderId="0" xfId="0" applyFont="1"/>
    <xf numFmtId="9" fontId="0" fillId="0" borderId="0" xfId="1" applyFont="1"/>
    <xf numFmtId="1" fontId="0" fillId="0" borderId="0" xfId="0" applyNumberFormat="1" applyFont="1"/>
    <xf numFmtId="0" fontId="0" fillId="0" borderId="0" xfId="0" applyFont="1" applyBorder="1"/>
    <xf numFmtId="0" fontId="2" fillId="5" borderId="0" xfId="0" applyFont="1" applyFill="1"/>
    <xf numFmtId="0" fontId="0" fillId="0" borderId="0" xfId="0" applyFont="1" applyFill="1"/>
    <xf numFmtId="0" fontId="2" fillId="0" borderId="0" xfId="0" applyFont="1" applyFill="1" applyBorder="1"/>
    <xf numFmtId="0" fontId="0" fillId="0" borderId="0" xfId="0" applyFont="1" applyAlignment="1">
      <alignment vertical="top" wrapText="1"/>
    </xf>
    <xf numFmtId="0" fontId="0" fillId="0" borderId="0" xfId="0"/>
    <xf numFmtId="0" fontId="0" fillId="0" borderId="0" xfId="0" applyFill="1"/>
    <xf numFmtId="1" fontId="0" fillId="0" borderId="0" xfId="0" applyNumberFormat="1" applyFill="1"/>
    <xf numFmtId="0" fontId="0" fillId="0" borderId="0" xfId="0" applyFont="1"/>
    <xf numFmtId="9" fontId="6" fillId="0" borderId="0" xfId="1" applyNumberFormat="1" applyFont="1" applyFill="1"/>
    <xf numFmtId="0" fontId="0" fillId="0" borderId="0" xfId="0" applyFont="1" applyFill="1" applyBorder="1"/>
    <xf numFmtId="0" fontId="14" fillId="6" borderId="0" xfId="0" applyFont="1" applyFill="1" applyAlignment="1">
      <alignment vertical="center" wrapText="1"/>
    </xf>
    <xf numFmtId="0" fontId="0" fillId="0" borderId="0" xfId="0" applyFont="1" applyFill="1"/>
    <xf numFmtId="0" fontId="0" fillId="6" borderId="0" xfId="0" applyFont="1" applyFill="1" applyAlignment="1">
      <alignment vertical="top"/>
    </xf>
    <xf numFmtId="0" fontId="0" fillId="0" borderId="0" xfId="0" applyFont="1" applyFill="1" applyBorder="1" applyAlignment="1"/>
    <xf numFmtId="1" fontId="0" fillId="0" borderId="0" xfId="0" applyNumberFormat="1" applyFont="1" applyFill="1"/>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0" fontId="2" fillId="6" borderId="0" xfId="0" applyFont="1" applyFill="1" applyBorder="1" applyAlignment="1">
      <alignment horizontal="left" vertical="top" wrapText="1"/>
    </xf>
    <xf numFmtId="168" fontId="8" fillId="0" borderId="0" xfId="11" applyNumberFormat="1" applyFont="1" applyFill="1" applyAlignment="1">
      <alignment horizontal="left" vertical="top"/>
    </xf>
    <xf numFmtId="0" fontId="0" fillId="0" borderId="0" xfId="0"/>
    <xf numFmtId="9" fontId="0" fillId="0" borderId="0" xfId="0" applyNumberFormat="1"/>
    <xf numFmtId="0" fontId="0" fillId="5" borderId="0" xfId="0" applyFill="1"/>
    <xf numFmtId="9" fontId="0" fillId="0" borderId="0" xfId="0" applyNumberFormat="1" applyFill="1"/>
    <xf numFmtId="0" fontId="0" fillId="6" borderId="0" xfId="0" applyFill="1"/>
    <xf numFmtId="9" fontId="0" fillId="0" borderId="0" xfId="1" applyFont="1"/>
    <xf numFmtId="0" fontId="0" fillId="0" borderId="0" xfId="0" applyFont="1"/>
    <xf numFmtId="0" fontId="2" fillId="0" borderId="0" xfId="0" applyFont="1" applyBorder="1" applyAlignment="1">
      <alignment horizontal="right"/>
    </xf>
    <xf numFmtId="0" fontId="0" fillId="0" borderId="0" xfId="0" applyFont="1" applyAlignment="1">
      <alignment vertical="top" wrapText="1"/>
    </xf>
    <xf numFmtId="167" fontId="0" fillId="0" borderId="0" xfId="1" applyNumberFormat="1" applyFont="1" applyFill="1"/>
    <xf numFmtId="0" fontId="9" fillId="0" borderId="0" xfId="10"/>
    <xf numFmtId="0" fontId="2" fillId="6" borderId="0" xfId="0" applyFont="1" applyFill="1" applyAlignment="1">
      <alignment vertical="center" wrapText="1"/>
    </xf>
    <xf numFmtId="0" fontId="2" fillId="6" borderId="0" xfId="0" applyFont="1" applyFill="1" applyAlignment="1">
      <alignment horizontal="left" vertical="center" wrapText="1"/>
    </xf>
    <xf numFmtId="9" fontId="0" fillId="6" borderId="0" xfId="1" applyFont="1" applyFill="1"/>
    <xf numFmtId="164" fontId="0" fillId="0" borderId="0" xfId="9" applyNumberFormat="1" applyFont="1" applyFill="1"/>
    <xf numFmtId="9" fontId="0" fillId="0" borderId="2" xfId="1" applyFont="1" applyBorder="1"/>
    <xf numFmtId="165" fontId="0" fillId="2" borderId="3" xfId="0" applyNumberFormat="1" applyFont="1" applyFill="1" applyBorder="1"/>
    <xf numFmtId="0" fontId="0" fillId="0" borderId="0" xfId="0" applyFont="1" applyFill="1" applyBorder="1"/>
    <xf numFmtId="14" fontId="0" fillId="0" borderId="0" xfId="0" applyNumberFormat="1" applyFont="1" applyFill="1" applyBorder="1"/>
    <xf numFmtId="0" fontId="8" fillId="0" borderId="0" xfId="0" applyFont="1" applyFill="1"/>
    <xf numFmtId="0" fontId="8" fillId="0" borderId="0" xfId="0" applyFont="1" applyFill="1" applyBorder="1"/>
    <xf numFmtId="9" fontId="8" fillId="0" borderId="0" xfId="1" applyFont="1" applyFill="1" applyAlignment="1">
      <alignment horizontal="right"/>
    </xf>
    <xf numFmtId="0" fontId="0" fillId="0" borderId="0" xfId="0" applyFill="1" applyAlignment="1">
      <alignment vertical="top"/>
    </xf>
    <xf numFmtId="8" fontId="0" fillId="0" borderId="0" xfId="0" applyNumberFormat="1"/>
    <xf numFmtId="0" fontId="8" fillId="0" borderId="2" xfId="0" applyFont="1" applyFill="1" applyBorder="1"/>
    <xf numFmtId="0" fontId="0" fillId="0" borderId="2" xfId="0" applyFont="1" applyFill="1" applyBorder="1"/>
    <xf numFmtId="0" fontId="0" fillId="0" borderId="0" xfId="0" applyFont="1" applyAlignment="1">
      <alignment horizontal="left" vertical="top" wrapText="1"/>
    </xf>
    <xf numFmtId="0" fontId="0" fillId="0" borderId="0" xfId="0" applyFont="1" applyFill="1"/>
    <xf numFmtId="0" fontId="0" fillId="5" borderId="0" xfId="0" applyFont="1" applyFill="1"/>
    <xf numFmtId="0" fontId="0" fillId="6" borderId="0" xfId="0" applyFont="1" applyFill="1" applyAlignment="1">
      <alignment vertical="top"/>
    </xf>
    <xf numFmtId="0" fontId="0" fillId="0" borderId="0" xfId="0" applyFont="1" applyFill="1" applyBorder="1" applyAlignment="1"/>
    <xf numFmtId="0" fontId="9" fillId="0" borderId="0" xfId="10" applyFont="1"/>
    <xf numFmtId="14" fontId="0" fillId="0" borderId="0" xfId="0" applyNumberFormat="1" applyFont="1" applyFill="1"/>
    <xf numFmtId="1" fontId="0" fillId="0" borderId="0" xfId="0" applyNumberFormat="1" applyFont="1" applyFill="1"/>
    <xf numFmtId="0" fontId="15" fillId="0" borderId="0" xfId="0" applyFont="1" applyAlignment="1">
      <alignment vertical="top" wrapText="1"/>
    </xf>
    <xf numFmtId="1" fontId="0" fillId="2" borderId="0" xfId="0" applyNumberFormat="1" applyFont="1" applyFill="1"/>
    <xf numFmtId="0" fontId="0" fillId="0" borderId="2" xfId="0" applyFont="1" applyBorder="1"/>
    <xf numFmtId="9" fontId="0" fillId="8" borderId="0" xfId="0" applyNumberFormat="1" applyFill="1"/>
    <xf numFmtId="9" fontId="0" fillId="8" borderId="0" xfId="0" applyNumberFormat="1" applyFill="1" applyBorder="1"/>
    <xf numFmtId="9" fontId="0" fillId="2" borderId="0" xfId="1" applyFont="1" applyFill="1"/>
    <xf numFmtId="9" fontId="0" fillId="2" borderId="2" xfId="1" applyFont="1" applyFill="1" applyBorder="1"/>
    <xf numFmtId="9" fontId="0" fillId="8" borderId="0" xfId="0" applyNumberFormat="1" applyFont="1" applyFill="1" applyAlignment="1"/>
    <xf numFmtId="9" fontId="8" fillId="0" borderId="2" xfId="0" applyNumberFormat="1" applyFont="1" applyFill="1" applyBorder="1"/>
    <xf numFmtId="167" fontId="0" fillId="2" borderId="0" xfId="0" applyNumberFormat="1" applyFont="1" applyFill="1"/>
    <xf numFmtId="167" fontId="0" fillId="2" borderId="0" xfId="1" applyNumberFormat="1" applyFont="1" applyFill="1"/>
    <xf numFmtId="6" fontId="0" fillId="0" borderId="0" xfId="0" applyNumberFormat="1" applyFont="1"/>
    <xf numFmtId="9" fontId="0" fillId="8" borderId="2" xfId="0" applyNumberFormat="1" applyFont="1" applyFill="1" applyBorder="1" applyAlignment="1"/>
    <xf numFmtId="9" fontId="0" fillId="0" borderId="0" xfId="1" applyFont="1" applyAlignment="1"/>
    <xf numFmtId="9" fontId="0" fillId="0" borderId="2" xfId="1" applyFont="1" applyBorder="1" applyAlignment="1"/>
    <xf numFmtId="0" fontId="0" fillId="6" borderId="0" xfId="0" applyFont="1" applyFill="1" applyBorder="1"/>
    <xf numFmtId="0" fontId="8" fillId="0" borderId="0" xfId="10" applyFont="1"/>
    <xf numFmtId="1" fontId="0" fillId="2" borderId="2" xfId="0" applyNumberFormat="1" applyFont="1" applyFill="1" applyBorder="1"/>
    <xf numFmtId="165" fontId="0" fillId="2" borderId="0" xfId="9" applyNumberFormat="1" applyFont="1" applyFill="1"/>
    <xf numFmtId="0" fontId="0" fillId="6" borderId="0" xfId="0" applyFill="1" applyAlignment="1">
      <alignment vertical="top"/>
    </xf>
    <xf numFmtId="0" fontId="0" fillId="6" borderId="0" xfId="0" applyFill="1"/>
    <xf numFmtId="169" fontId="0" fillId="2" borderId="0" xfId="0" applyNumberFormat="1" applyFill="1"/>
    <xf numFmtId="165" fontId="0" fillId="2" borderId="0" xfId="0" applyNumberFormat="1" applyFont="1" applyFill="1"/>
    <xf numFmtId="170" fontId="8" fillId="0" borderId="0" xfId="0" applyNumberFormat="1" applyFont="1" applyFill="1"/>
    <xf numFmtId="171" fontId="0" fillId="2" borderId="0" xfId="11" applyNumberFormat="1" applyFont="1" applyFill="1"/>
    <xf numFmtId="9" fontId="13" fillId="0" borderId="0" xfId="0" applyNumberFormat="1" applyFont="1" applyFill="1" applyAlignment="1">
      <alignment vertical="top" wrapText="1"/>
    </xf>
    <xf numFmtId="169" fontId="13" fillId="0" borderId="0" xfId="9" applyNumberFormat="1" applyFont="1" applyFill="1" applyAlignment="1">
      <alignment vertical="top" wrapText="1"/>
    </xf>
    <xf numFmtId="0" fontId="8" fillId="0" borderId="0" xfId="0" applyFont="1" applyFill="1" applyAlignment="1">
      <alignment horizontal="left" wrapText="1"/>
    </xf>
    <xf numFmtId="169" fontId="0" fillId="2" borderId="3" xfId="0" applyNumberFormat="1" applyFill="1" applyBorder="1"/>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horizontal="left" vertical="top" wrapText="1"/>
    </xf>
    <xf numFmtId="0" fontId="0" fillId="6" borderId="0" xfId="0" applyFont="1" applyFill="1" applyAlignment="1">
      <alignment vertical="top"/>
    </xf>
    <xf numFmtId="0" fontId="0" fillId="6" borderId="0" xfId="0" applyFill="1"/>
    <xf numFmtId="0" fontId="0" fillId="0" borderId="0" xfId="0" applyFont="1" applyFill="1" applyBorder="1"/>
    <xf numFmtId="1" fontId="2" fillId="6" borderId="0" xfId="0" applyNumberFormat="1" applyFont="1" applyFill="1" applyAlignment="1">
      <alignment horizontal="left" vertical="top" wrapText="1"/>
    </xf>
    <xf numFmtId="0" fontId="0" fillId="0" borderId="0" xfId="0"/>
    <xf numFmtId="0" fontId="2" fillId="0" borderId="0" xfId="0" applyFont="1"/>
    <xf numFmtId="0" fontId="2" fillId="6" borderId="0" xfId="0" applyFont="1" applyFill="1"/>
    <xf numFmtId="0" fontId="0" fillId="0" borderId="0" xfId="0" applyFont="1"/>
    <xf numFmtId="0" fontId="0" fillId="6" borderId="0" xfId="0" applyFill="1" applyAlignment="1">
      <alignment vertical="top"/>
    </xf>
    <xf numFmtId="0" fontId="0" fillId="0" borderId="0" xfId="0" applyFill="1" applyAlignment="1">
      <alignment vertical="top" wrapText="1"/>
    </xf>
    <xf numFmtId="165" fontId="8" fillId="0" borderId="0" xfId="9" applyNumberFormat="1" applyFont="1" applyFill="1"/>
    <xf numFmtId="1" fontId="2" fillId="6" borderId="0" xfId="0" applyNumberFormat="1" applyFont="1" applyFill="1" applyAlignment="1">
      <alignment vertical="top" wrapText="1"/>
    </xf>
    <xf numFmtId="1" fontId="0" fillId="0" borderId="0" xfId="0" applyNumberFormat="1" applyFont="1"/>
    <xf numFmtId="169" fontId="0" fillId="0" borderId="0" xfId="9" applyNumberFormat="1" applyFont="1"/>
    <xf numFmtId="0" fontId="0" fillId="0" borderId="2" xfId="0" applyBorder="1"/>
    <xf numFmtId="169" fontId="0" fillId="2" borderId="0" xfId="9" applyNumberFormat="1" applyFont="1" applyFill="1"/>
    <xf numFmtId="0" fontId="14" fillId="6" borderId="0" xfId="0" applyFont="1" applyFill="1" applyAlignment="1">
      <alignment horizontal="center" vertical="center" textRotation="90"/>
    </xf>
    <xf numFmtId="0" fontId="0" fillId="0" borderId="0" xfId="0" applyFont="1" applyAlignment="1">
      <alignment horizontal="left" vertical="top" wrapText="1"/>
    </xf>
    <xf numFmtId="0" fontId="0" fillId="6" borderId="0" xfId="0" applyFont="1" applyFill="1" applyAlignment="1">
      <alignment vertical="top"/>
    </xf>
    <xf numFmtId="0" fontId="2" fillId="6" borderId="0" xfId="0" applyFont="1" applyFill="1" applyAlignment="1">
      <alignment horizontal="left" vertical="center" wrapText="1"/>
    </xf>
    <xf numFmtId="0" fontId="0" fillId="6" borderId="0" xfId="0" applyFill="1"/>
    <xf numFmtId="0" fontId="0" fillId="0" borderId="0" xfId="0" applyFont="1" applyFill="1" applyBorder="1"/>
    <xf numFmtId="165" fontId="0" fillId="7" borderId="3" xfId="0" applyNumberFormat="1" applyFill="1" applyBorder="1"/>
    <xf numFmtId="9" fontId="8" fillId="8" borderId="0" xfId="0" applyNumberFormat="1" applyFont="1" applyFill="1" applyAlignment="1">
      <alignment vertical="center" wrapText="1"/>
    </xf>
    <xf numFmtId="172" fontId="0" fillId="8" borderId="0" xfId="0" applyNumberFormat="1" applyFill="1"/>
    <xf numFmtId="165" fontId="0" fillId="2" borderId="0" xfId="0" applyNumberFormat="1" applyFill="1"/>
    <xf numFmtId="164" fontId="0" fillId="2" borderId="0" xfId="9" applyNumberFormat="1" applyFont="1" applyFill="1" applyBorder="1"/>
    <xf numFmtId="164" fontId="8" fillId="2" borderId="0" xfId="0" applyNumberFormat="1" applyFont="1" applyFill="1" applyAlignment="1">
      <alignment vertical="center" wrapText="1"/>
    </xf>
    <xf numFmtId="9" fontId="0" fillId="8" borderId="0" xfId="1" applyFont="1" applyFill="1"/>
    <xf numFmtId="0" fontId="0" fillId="8" borderId="0" xfId="0" applyFill="1"/>
    <xf numFmtId="0" fontId="0" fillId="6" borderId="0" xfId="0" applyFont="1" applyFill="1"/>
    <xf numFmtId="3" fontId="0" fillId="0" borderId="0" xfId="0" applyNumberFormat="1" applyFont="1"/>
    <xf numFmtId="6" fontId="8" fillId="2" borderId="0" xfId="0" applyNumberFormat="1" applyFont="1" applyFill="1"/>
    <xf numFmtId="0" fontId="0" fillId="0" borderId="2" xfId="0" applyFont="1" applyFill="1" applyBorder="1" applyAlignment="1">
      <alignment wrapText="1"/>
    </xf>
    <xf numFmtId="1" fontId="0" fillId="2" borderId="0" xfId="0" applyNumberFormat="1" applyFill="1"/>
    <xf numFmtId="9" fontId="0" fillId="0" borderId="2" xfId="0" applyNumberFormat="1" applyBorder="1"/>
    <xf numFmtId="0" fontId="0" fillId="0" borderId="0" xfId="0" applyBorder="1" applyAlignment="1">
      <alignment horizontal="center"/>
    </xf>
    <xf numFmtId="165" fontId="0" fillId="2" borderId="0" xfId="0" applyNumberFormat="1" applyFont="1" applyFill="1" applyBorder="1"/>
    <xf numFmtId="9" fontId="8" fillId="8" borderId="0" xfId="1" applyFont="1" applyFill="1" applyAlignment="1">
      <alignment horizontal="right"/>
    </xf>
    <xf numFmtId="9" fontId="8" fillId="8" borderId="0" xfId="1" applyFont="1" applyFill="1"/>
    <xf numFmtId="165" fontId="8" fillId="2" borderId="0" xfId="0" applyNumberFormat="1" applyFont="1" applyFill="1" applyAlignment="1">
      <alignment horizontal="right"/>
    </xf>
    <xf numFmtId="9" fontId="8" fillId="8" borderId="0" xfId="1" applyFont="1" applyFill="1" applyBorder="1"/>
    <xf numFmtId="9" fontId="0" fillId="8" borderId="0" xfId="1" applyFont="1" applyFill="1" applyBorder="1"/>
    <xf numFmtId="9" fontId="0" fillId="8" borderId="2" xfId="1" applyFont="1" applyFill="1" applyBorder="1"/>
    <xf numFmtId="0" fontId="2" fillId="3" borderId="0" xfId="0" applyFont="1" applyFill="1" applyAlignment="1">
      <alignment vertical="center"/>
    </xf>
    <xf numFmtId="0" fontId="0" fillId="3" borderId="0" xfId="0" applyFill="1"/>
    <xf numFmtId="0" fontId="0" fillId="6" borderId="0" xfId="0" applyFont="1" applyFill="1" applyAlignment="1">
      <alignment vertical="top" wrapText="1"/>
    </xf>
    <xf numFmtId="0" fontId="0" fillId="0" borderId="0" xfId="0" applyFont="1" applyFill="1" applyAlignment="1">
      <alignment wrapText="1"/>
    </xf>
    <xf numFmtId="0" fontId="0" fillId="6" borderId="0" xfId="0" applyFill="1" applyAlignment="1">
      <alignment wrapText="1"/>
    </xf>
    <xf numFmtId="0" fontId="0" fillId="0" borderId="0" xfId="0" applyAlignment="1">
      <alignment wrapText="1"/>
    </xf>
    <xf numFmtId="0" fontId="8" fillId="0" borderId="0" xfId="0" applyFont="1" applyFill="1" applyBorder="1" applyAlignment="1">
      <alignment wrapText="1"/>
    </xf>
    <xf numFmtId="0" fontId="8" fillId="0" borderId="0" xfId="0" applyFont="1" applyFill="1" applyAlignment="1">
      <alignment wrapText="1"/>
    </xf>
    <xf numFmtId="1" fontId="0" fillId="0" borderId="0" xfId="0" applyNumberFormat="1" applyFont="1" applyFill="1" applyAlignment="1">
      <alignment wrapText="1"/>
    </xf>
    <xf numFmtId="0" fontId="0" fillId="8" borderId="0" xfId="0" applyFont="1" applyFill="1"/>
    <xf numFmtId="0" fontId="8" fillId="2" borderId="0" xfId="0" applyFont="1" applyFill="1"/>
    <xf numFmtId="9" fontId="0" fillId="8" borderId="0" xfId="0" applyNumberFormat="1" applyFont="1" applyFill="1" applyBorder="1"/>
    <xf numFmtId="1" fontId="0" fillId="2" borderId="0" xfId="0" applyNumberFormat="1" applyFont="1" applyFill="1" applyBorder="1"/>
    <xf numFmtId="0" fontId="0" fillId="8" borderId="2" xfId="0" applyFont="1" applyFill="1" applyBorder="1"/>
    <xf numFmtId="6" fontId="0" fillId="2" borderId="0" xfId="0" applyNumberFormat="1" applyFill="1" applyBorder="1"/>
    <xf numFmtId="6" fontId="0" fillId="2" borderId="2" xfId="0" applyNumberFormat="1" applyFill="1" applyBorder="1"/>
    <xf numFmtId="171" fontId="0" fillId="2" borderId="2" xfId="11" applyNumberFormat="1" applyFont="1" applyFill="1" applyBorder="1"/>
    <xf numFmtId="43" fontId="0" fillId="2" borderId="0" xfId="0" applyNumberFormat="1" applyFont="1" applyFill="1"/>
    <xf numFmtId="43" fontId="0" fillId="2" borderId="2" xfId="0" applyNumberFormat="1" applyFont="1" applyFill="1" applyBorder="1"/>
    <xf numFmtId="0" fontId="2" fillId="10" borderId="0" xfId="0" applyFont="1" applyFill="1" applyAlignment="1">
      <alignment vertical="center" wrapText="1"/>
    </xf>
    <xf numFmtId="0" fontId="2" fillId="9" borderId="0" xfId="0" applyFont="1" applyFill="1" applyAlignment="1">
      <alignment vertical="center" wrapText="1"/>
    </xf>
    <xf numFmtId="0" fontId="2" fillId="10" borderId="0" xfId="0" applyFont="1" applyFill="1" applyAlignment="1">
      <alignment horizontal="left" vertical="center"/>
    </xf>
    <xf numFmtId="0" fontId="2" fillId="9" borderId="0" xfId="0" applyFont="1" applyFill="1" applyAlignment="1">
      <alignment horizontal="left" vertical="center"/>
    </xf>
    <xf numFmtId="9" fontId="0" fillId="0" borderId="0" xfId="1" applyFont="1" applyAlignment="1">
      <alignment vertical="center" wrapText="1"/>
    </xf>
    <xf numFmtId="165" fontId="0" fillId="0" borderId="3" xfId="0" applyNumberFormat="1" applyFont="1" applyBorder="1"/>
    <xf numFmtId="0" fontId="0" fillId="0" borderId="0" xfId="0" applyFont="1" applyFill="1" applyBorder="1" applyAlignment="1">
      <alignment vertical="center"/>
    </xf>
    <xf numFmtId="165" fontId="0" fillId="0" borderId="0" xfId="0" applyNumberFormat="1" applyFont="1" applyBorder="1" applyAlignment="1">
      <alignment vertical="center" wrapText="1"/>
    </xf>
    <xf numFmtId="0" fontId="0" fillId="0" borderId="0" xfId="0" applyFont="1" applyBorder="1" applyAlignment="1">
      <alignment vertical="center"/>
    </xf>
    <xf numFmtId="0" fontId="14" fillId="0" borderId="2" xfId="0" applyFont="1" applyBorder="1"/>
    <xf numFmtId="0" fontId="7" fillId="0" borderId="2" xfId="0" applyFont="1" applyBorder="1"/>
    <xf numFmtId="165" fontId="2" fillId="0" borderId="2" xfId="0" applyNumberFormat="1" applyFont="1" applyBorder="1" applyAlignment="1">
      <alignment wrapText="1"/>
    </xf>
    <xf numFmtId="165" fontId="2" fillId="0" borderId="0" xfId="0" applyNumberFormat="1" applyFont="1" applyBorder="1" applyAlignment="1">
      <alignment wrapText="1"/>
    </xf>
    <xf numFmtId="0" fontId="0" fillId="0" borderId="2" xfId="0" applyFont="1" applyFill="1" applyBorder="1" applyAlignment="1">
      <alignment vertical="center" wrapText="1"/>
    </xf>
    <xf numFmtId="165" fontId="0" fillId="0" borderId="2" xfId="0" applyNumberFormat="1" applyFont="1" applyBorder="1" applyAlignment="1">
      <alignment wrapText="1"/>
    </xf>
    <xf numFmtId="165" fontId="2" fillId="0" borderId="7" xfId="0" applyNumberFormat="1" applyFont="1" applyBorder="1" applyAlignment="1">
      <alignment wrapText="1"/>
    </xf>
    <xf numFmtId="165" fontId="0" fillId="4" borderId="3" xfId="0" applyNumberFormat="1" applyFont="1" applyFill="1" applyBorder="1"/>
    <xf numFmtId="0" fontId="0" fillId="0" borderId="0" xfId="0" applyFont="1" applyAlignment="1">
      <alignment horizontal="left" vertical="top"/>
    </xf>
    <xf numFmtId="0" fontId="0" fillId="0" borderId="0" xfId="0" applyAlignment="1">
      <alignment horizontal="left" vertical="top" wrapText="1"/>
    </xf>
    <xf numFmtId="0" fontId="0" fillId="6" borderId="0" xfId="0" applyFont="1" applyFill="1" applyAlignment="1">
      <alignment vertical="top"/>
    </xf>
    <xf numFmtId="0" fontId="0" fillId="0" borderId="6" xfId="0" applyFont="1" applyBorder="1" applyAlignment="1">
      <alignment horizontal="left" vertical="top" wrapText="1"/>
    </xf>
    <xf numFmtId="0" fontId="0" fillId="0" borderId="0" xfId="0" applyFill="1" applyAlignment="1">
      <alignment horizontal="left" vertical="top" wrapText="1"/>
    </xf>
    <xf numFmtId="0" fontId="0" fillId="0" borderId="0" xfId="0" applyFont="1" applyFill="1" applyBorder="1"/>
    <xf numFmtId="0" fontId="0" fillId="6" borderId="0" xfId="0" applyFill="1" applyAlignment="1">
      <alignment vertical="top"/>
    </xf>
    <xf numFmtId="1" fontId="2" fillId="6" borderId="0" xfId="0" applyNumberFormat="1" applyFont="1" applyFill="1" applyAlignment="1">
      <alignment horizontal="left" vertical="top" wrapText="1"/>
    </xf>
    <xf numFmtId="9" fontId="0" fillId="0" borderId="2" xfId="0" applyNumberFormat="1" applyFill="1" applyBorder="1"/>
    <xf numFmtId="165" fontId="0" fillId="2" borderId="2" xfId="0" applyNumberFormat="1" applyFont="1" applyFill="1" applyBorder="1" applyAlignment="1">
      <alignment horizontal="right"/>
    </xf>
    <xf numFmtId="14" fontId="0" fillId="0" borderId="0" xfId="0" applyNumberFormat="1" applyFont="1"/>
    <xf numFmtId="165" fontId="0" fillId="2" borderId="0" xfId="0" applyNumberFormat="1" applyFont="1" applyFill="1" applyBorder="1" applyAlignment="1">
      <alignment horizontal="left"/>
    </xf>
    <xf numFmtId="165" fontId="0" fillId="2" borderId="0" xfId="0" applyNumberFormat="1" applyFill="1" applyBorder="1" applyAlignment="1">
      <alignment horizontal="left"/>
    </xf>
    <xf numFmtId="0" fontId="0" fillId="0" borderId="0" xfId="0" applyFont="1" applyAlignment="1">
      <alignment horizontal="right"/>
    </xf>
    <xf numFmtId="6" fontId="0" fillId="2" borderId="0" xfId="0" applyNumberFormat="1" applyFill="1" applyBorder="1" applyAlignment="1">
      <alignment horizontal="left"/>
    </xf>
    <xf numFmtId="165" fontId="8" fillId="0" borderId="0" xfId="9" applyNumberFormat="1" applyFont="1" applyFill="1" applyBorder="1" applyAlignment="1">
      <alignment horizontal="left" vertical="top"/>
    </xf>
    <xf numFmtId="0" fontId="9" fillId="0" borderId="0" xfId="10" applyFont="1" applyFill="1" applyBorder="1" applyAlignment="1">
      <alignment vertical="top"/>
    </xf>
    <xf numFmtId="14" fontId="0" fillId="0" borderId="0" xfId="1" applyNumberFormat="1" applyFont="1" applyFill="1" applyBorder="1" applyAlignment="1">
      <alignment vertical="top"/>
    </xf>
    <xf numFmtId="0" fontId="0" fillId="0" borderId="0" xfId="0" applyFont="1" applyAlignment="1">
      <alignment horizontal="right" wrapText="1"/>
    </xf>
    <xf numFmtId="6" fontId="0" fillId="0" borderId="0" xfId="0" applyNumberFormat="1" applyAlignment="1">
      <alignment horizontal="right" vertical="center"/>
    </xf>
    <xf numFmtId="6" fontId="0" fillId="0" borderId="0" xfId="0" applyNumberFormat="1" applyFont="1" applyFill="1" applyBorder="1" applyAlignment="1">
      <alignment horizontal="right" vertical="center" wrapText="1"/>
    </xf>
    <xf numFmtId="6" fontId="8" fillId="0" borderId="0" xfId="0" applyNumberFormat="1" applyFont="1" applyFill="1" applyAlignment="1">
      <alignment horizontal="right" vertical="center" wrapText="1"/>
    </xf>
    <xf numFmtId="0" fontId="2" fillId="6" borderId="0" xfId="0" applyFont="1" applyFill="1" applyBorder="1" applyAlignment="1">
      <alignment vertical="center" wrapText="1"/>
    </xf>
    <xf numFmtId="0" fontId="0" fillId="0" borderId="0" xfId="0" applyAlignment="1">
      <alignment horizontal="left" vertical="center"/>
    </xf>
    <xf numFmtId="165" fontId="0" fillId="0" borderId="0" xfId="0" applyNumberFormat="1" applyFont="1" applyFill="1" applyAlignment="1">
      <alignment horizontal="right"/>
    </xf>
    <xf numFmtId="0" fontId="0" fillId="0" borderId="0" xfId="0" applyFont="1" applyFill="1" applyBorder="1" applyAlignment="1">
      <alignment horizontal="right" vertical="center" wrapText="1"/>
    </xf>
    <xf numFmtId="0" fontId="8" fillId="0" borderId="0" xfId="0" applyFont="1" applyFill="1" applyAlignment="1">
      <alignment horizontal="right" vertical="center" wrapText="1"/>
    </xf>
    <xf numFmtId="0" fontId="2" fillId="0" borderId="0" xfId="0" applyFont="1" applyAlignment="1">
      <alignment wrapText="1"/>
    </xf>
    <xf numFmtId="10" fontId="0" fillId="0" borderId="0" xfId="1" applyNumberFormat="1" applyFont="1"/>
    <xf numFmtId="0" fontId="0" fillId="0" borderId="0" xfId="0" applyFont="1" applyBorder="1"/>
    <xf numFmtId="0" fontId="0" fillId="0" borderId="0" xfId="0" applyAlignment="1">
      <alignment horizontal="left" vertical="top" wrapText="1"/>
    </xf>
    <xf numFmtId="0" fontId="0" fillId="0" borderId="0" xfId="0" applyFill="1" applyAlignment="1">
      <alignment horizontal="left" vertical="top" wrapText="1"/>
    </xf>
    <xf numFmtId="0" fontId="0" fillId="0" borderId="0" xfId="0" applyFont="1" applyFill="1" applyBorder="1"/>
    <xf numFmtId="0" fontId="2" fillId="5" borderId="0" xfId="0" applyFont="1" applyFill="1"/>
    <xf numFmtId="0" fontId="0" fillId="6" borderId="0" xfId="0" applyFill="1" applyAlignment="1">
      <alignment vertical="top"/>
    </xf>
    <xf numFmtId="0" fontId="2" fillId="0" borderId="1" xfId="0" applyFont="1" applyBorder="1" applyAlignment="1">
      <alignment horizontal="right"/>
    </xf>
    <xf numFmtId="0" fontId="0" fillId="0" borderId="0" xfId="0" applyBorder="1" applyAlignment="1">
      <alignment vertical="top"/>
    </xf>
    <xf numFmtId="173" fontId="8" fillId="0" borderId="0" xfId="1" applyNumberFormat="1" applyFont="1" applyFill="1" applyBorder="1"/>
    <xf numFmtId="0" fontId="0" fillId="0" borderId="2" xfId="0" applyBorder="1" applyAlignment="1">
      <alignment vertical="top"/>
    </xf>
    <xf numFmtId="9" fontId="8" fillId="0" borderId="2" xfId="1" applyNumberFormat="1" applyFont="1" applyFill="1" applyBorder="1"/>
    <xf numFmtId="173" fontId="8" fillId="0" borderId="2" xfId="1" applyNumberFormat="1" applyFont="1" applyFill="1" applyBorder="1"/>
    <xf numFmtId="173" fontId="8" fillId="2" borderId="0" xfId="1" applyNumberFormat="1" applyFont="1" applyFill="1" applyBorder="1"/>
    <xf numFmtId="0" fontId="8" fillId="0" borderId="0" xfId="1" applyNumberFormat="1" applyFont="1" applyFill="1" applyBorder="1"/>
    <xf numFmtId="0" fontId="0" fillId="3" borderId="0" xfId="0" applyFont="1" applyFill="1" applyBorder="1" applyAlignment="1">
      <alignment horizontal="left"/>
    </xf>
    <xf numFmtId="167" fontId="0" fillId="2" borderId="0" xfId="0" applyNumberFormat="1" applyFont="1" applyFill="1" applyBorder="1"/>
    <xf numFmtId="174" fontId="0" fillId="2" borderId="0" xfId="1" applyNumberFormat="1" applyFont="1" applyFill="1" applyBorder="1"/>
    <xf numFmtId="9" fontId="1" fillId="8" borderId="0" xfId="1" applyFont="1" applyFill="1" applyAlignment="1">
      <alignment horizontal="right"/>
    </xf>
    <xf numFmtId="164" fontId="0" fillId="0" borderId="0" xfId="0" applyNumberFormat="1" applyFill="1" applyBorder="1"/>
    <xf numFmtId="6" fontId="0" fillId="0" borderId="0" xfId="9" applyNumberFormat="1" applyFont="1" applyFill="1" applyBorder="1" applyAlignment="1"/>
    <xf numFmtId="1" fontId="0" fillId="0" borderId="0" xfId="0" applyNumberFormat="1" applyFont="1" applyFill="1" applyBorder="1" applyAlignment="1"/>
    <xf numFmtId="2" fontId="0" fillId="2" borderId="0" xfId="0" applyNumberFormat="1" applyFill="1" applyAlignment="1">
      <alignment horizontal="left" indent="11"/>
    </xf>
    <xf numFmtId="6" fontId="0" fillId="2" borderId="0" xfId="0" applyNumberFormat="1" applyFill="1"/>
    <xf numFmtId="0" fontId="14" fillId="6" borderId="0" xfId="0" quotePrefix="1" applyFont="1" applyFill="1" applyAlignment="1">
      <alignment vertical="center" wrapText="1"/>
    </xf>
    <xf numFmtId="6" fontId="0" fillId="2" borderId="3" xfId="0" applyNumberFormat="1" applyFill="1" applyBorder="1"/>
    <xf numFmtId="165" fontId="0" fillId="0" borderId="0" xfId="0" applyNumberFormat="1" applyFont="1" applyFill="1" applyBorder="1" applyAlignment="1">
      <alignment wrapText="1"/>
    </xf>
    <xf numFmtId="9" fontId="0" fillId="0" borderId="0" xfId="1" applyFont="1" applyFill="1" applyAlignment="1">
      <alignment vertical="center" wrapText="1"/>
    </xf>
    <xf numFmtId="0" fontId="2" fillId="5" borderId="0" xfId="0" applyFont="1" applyFill="1"/>
    <xf numFmtId="164" fontId="0" fillId="11" borderId="0" xfId="0" applyNumberFormat="1" applyFill="1" applyAlignment="1">
      <alignment horizontal="left"/>
    </xf>
    <xf numFmtId="0" fontId="0" fillId="6" borderId="0" xfId="0" applyFont="1" applyFill="1" applyAlignment="1">
      <alignment horizontal="center" vertical="center"/>
    </xf>
    <xf numFmtId="0" fontId="0" fillId="6" borderId="0" xfId="0" applyFont="1" applyFill="1" applyAlignment="1">
      <alignment vertical="center"/>
    </xf>
    <xf numFmtId="0" fontId="0" fillId="6" borderId="0" xfId="0" applyFont="1" applyFill="1" applyAlignment="1">
      <alignment wrapText="1"/>
    </xf>
    <xf numFmtId="0" fontId="0" fillId="12" borderId="0" xfId="0" applyFont="1" applyFill="1"/>
    <xf numFmtId="0" fontId="0" fillId="12" borderId="0" xfId="0" applyFont="1" applyFill="1" applyAlignment="1">
      <alignment horizontal="center" vertical="center"/>
    </xf>
    <xf numFmtId="0" fontId="0" fillId="12" borderId="0" xfId="0" applyFont="1" applyFill="1" applyAlignment="1">
      <alignment vertical="center"/>
    </xf>
    <xf numFmtId="0" fontId="0" fillId="12" borderId="0" xfId="0" applyFont="1" applyFill="1" applyAlignment="1">
      <alignment wrapText="1"/>
    </xf>
    <xf numFmtId="0" fontId="2" fillId="12" borderId="0" xfId="0" applyFont="1" applyFill="1"/>
    <xf numFmtId="0" fontId="0" fillId="5" borderId="0" xfId="0" applyFont="1" applyFill="1" applyAlignment="1">
      <alignment horizontal="center" vertical="center"/>
    </xf>
    <xf numFmtId="0" fontId="0" fillId="5" borderId="0" xfId="0" applyFont="1" applyFill="1" applyAlignment="1">
      <alignment vertical="center"/>
    </xf>
    <xf numFmtId="0" fontId="0" fillId="5" borderId="0" xfId="0" applyFont="1" applyFill="1" applyAlignment="1">
      <alignment wrapText="1"/>
    </xf>
    <xf numFmtId="0" fontId="2" fillId="0" borderId="0" xfId="0" applyFont="1" applyAlignment="1"/>
    <xf numFmtId="0" fontId="0" fillId="0" borderId="0" xfId="0" applyFont="1" applyAlignment="1">
      <alignment horizontal="left" vertical="top" wrapText="1"/>
    </xf>
    <xf numFmtId="0" fontId="0" fillId="0" borderId="0" xfId="0" applyFont="1" applyAlignment="1">
      <alignment horizontal="left" vertical="top"/>
    </xf>
    <xf numFmtId="0" fontId="2" fillId="5" borderId="0" xfId="0" applyFont="1" applyFill="1" applyAlignment="1">
      <alignment horizontal="left" vertical="center" wrapText="1"/>
    </xf>
    <xf numFmtId="0" fontId="14" fillId="6" borderId="0" xfId="0" applyFont="1" applyFill="1" applyAlignment="1">
      <alignment horizontal="center" vertical="center" textRotation="90"/>
    </xf>
    <xf numFmtId="0" fontId="2" fillId="10" borderId="0" xfId="0" applyFont="1" applyFill="1" applyAlignment="1">
      <alignment horizontal="left" vertical="center"/>
    </xf>
    <xf numFmtId="0" fontId="2" fillId="9" borderId="0" xfId="0" applyFont="1" applyFill="1" applyAlignment="1">
      <alignment horizontal="left" vertical="center"/>
    </xf>
    <xf numFmtId="0" fontId="2" fillId="5" borderId="0" xfId="0" applyFont="1" applyFill="1" applyAlignment="1">
      <alignment horizontal="center" vertical="center" wrapText="1"/>
    </xf>
    <xf numFmtId="0" fontId="2" fillId="5"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164" fontId="0" fillId="2" borderId="0" xfId="0" applyNumberFormat="1" applyFont="1" applyFill="1" applyAlignment="1">
      <alignment horizontal="center" vertical="center"/>
    </xf>
    <xf numFmtId="0" fontId="0" fillId="8" borderId="13" xfId="0" applyFill="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Font="1" applyAlignment="1">
      <alignment horizontal="left" wrapText="1"/>
    </xf>
    <xf numFmtId="0" fontId="8" fillId="0" borderId="0" xfId="0" applyFont="1" applyAlignment="1">
      <alignment horizontal="left" vertical="top" wrapText="1"/>
    </xf>
    <xf numFmtId="0" fontId="15" fillId="0" borderId="0" xfId="0" applyFont="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164" fontId="0" fillId="2" borderId="0" xfId="0" applyNumberFormat="1" applyFont="1" applyFill="1" applyAlignment="1">
      <alignment horizontal="center"/>
    </xf>
    <xf numFmtId="0" fontId="0" fillId="8" borderId="0" xfId="0" applyFill="1" applyBorder="1" applyAlignment="1">
      <alignment horizontal="center"/>
    </xf>
    <xf numFmtId="0" fontId="2" fillId="0" borderId="0" xfId="0" applyFont="1" applyFill="1" applyBorder="1" applyAlignment="1">
      <alignment horizontal="left" vertical="top"/>
    </xf>
    <xf numFmtId="0" fontId="0" fillId="0" borderId="4"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2" fillId="3" borderId="0" xfId="0" applyFont="1" applyFill="1" applyAlignment="1">
      <alignment horizontal="left" vertical="top" wrapText="1"/>
    </xf>
    <xf numFmtId="1" fontId="0" fillId="0" borderId="0" xfId="0" applyNumberFormat="1" applyFont="1" applyAlignment="1">
      <alignment horizontal="left"/>
    </xf>
    <xf numFmtId="0" fontId="0" fillId="0" borderId="0" xfId="0" applyFont="1" applyAlignment="1">
      <alignment horizontal="left"/>
    </xf>
    <xf numFmtId="165" fontId="0" fillId="2" borderId="15" xfId="0" applyNumberFormat="1" applyFont="1" applyFill="1" applyBorder="1" applyAlignment="1">
      <alignment horizontal="center" vertical="center"/>
    </xf>
    <xf numFmtId="165" fontId="0" fillId="2" borderId="7" xfId="0" applyNumberFormat="1" applyFont="1" applyFill="1" applyBorder="1" applyAlignment="1">
      <alignment horizontal="center" vertical="center"/>
    </xf>
    <xf numFmtId="0" fontId="0" fillId="0" borderId="0" xfId="0" applyFont="1" applyFill="1" applyAlignment="1">
      <alignment horizontal="left" vertical="top" wrapText="1"/>
    </xf>
    <xf numFmtId="0" fontId="2" fillId="6" borderId="0" xfId="0" applyFont="1" applyFill="1" applyAlignment="1">
      <alignment horizontal="left" vertical="center" wrapText="1"/>
    </xf>
    <xf numFmtId="167" fontId="2" fillId="6" borderId="0" xfId="1" applyNumberFormat="1" applyFont="1" applyFill="1" applyAlignment="1">
      <alignment horizontal="left" vertical="center" wrapText="1"/>
    </xf>
    <xf numFmtId="0" fontId="0" fillId="0" borderId="2" xfId="0" applyFont="1" applyBorder="1" applyAlignment="1">
      <alignment horizontal="left"/>
    </xf>
    <xf numFmtId="165" fontId="0" fillId="2" borderId="14" xfId="0" applyNumberFormat="1" applyFont="1" applyFill="1" applyBorder="1" applyAlignment="1">
      <alignment horizontal="center" vertical="center"/>
    </xf>
    <xf numFmtId="0" fontId="8" fillId="0" borderId="0" xfId="0" applyFont="1" applyFill="1" applyBorder="1" applyAlignment="1">
      <alignment horizontal="left" vertical="top" wrapText="1"/>
    </xf>
    <xf numFmtId="0" fontId="0" fillId="3" borderId="0" xfId="0" applyFont="1" applyFill="1" applyBorder="1" applyAlignment="1">
      <alignment horizontal="left" vertical="top"/>
    </xf>
    <xf numFmtId="0" fontId="0" fillId="0" borderId="0" xfId="0" applyFont="1" applyFill="1" applyBorder="1"/>
    <xf numFmtId="0" fontId="10" fillId="0" borderId="0" xfId="0" applyFont="1" applyAlignment="1">
      <alignment horizontal="left" vertical="top" wrapText="1"/>
    </xf>
    <xf numFmtId="0" fontId="2" fillId="5" borderId="0" xfId="0" applyFont="1" applyFill="1"/>
    <xf numFmtId="0" fontId="2" fillId="6" borderId="0" xfId="0" applyFont="1" applyFill="1" applyBorder="1" applyAlignment="1">
      <alignment horizontal="left" vertical="top" wrapText="1"/>
    </xf>
    <xf numFmtId="0" fontId="0" fillId="0" borderId="0" xfId="0" applyFill="1" applyAlignment="1">
      <alignment horizontal="left" vertical="top" wrapText="1"/>
    </xf>
    <xf numFmtId="0" fontId="0" fillId="0" borderId="12" xfId="0" applyFont="1" applyFill="1" applyBorder="1"/>
    <xf numFmtId="0" fontId="0" fillId="0" borderId="11" xfId="0" applyFont="1" applyFill="1" applyBorder="1"/>
    <xf numFmtId="0" fontId="0" fillId="6" borderId="0" xfId="0" applyFill="1" applyAlignment="1">
      <alignment vertical="top"/>
    </xf>
    <xf numFmtId="0" fontId="0" fillId="6" borderId="0" xfId="0" applyFill="1"/>
    <xf numFmtId="0" fontId="0" fillId="0" borderId="0" xfId="0" applyFont="1" applyBorder="1"/>
    <xf numFmtId="0" fontId="14" fillId="6" borderId="0" xfId="0" applyFont="1" applyFill="1" applyAlignment="1">
      <alignment horizontal="left" vertical="top" wrapText="1"/>
    </xf>
    <xf numFmtId="0" fontId="2" fillId="6" borderId="0" xfId="0" applyFont="1" applyFill="1" applyAlignment="1">
      <alignment horizontal="left" vertical="top"/>
    </xf>
    <xf numFmtId="0" fontId="2" fillId="6" borderId="0" xfId="0" applyFont="1" applyFill="1" applyAlignment="1">
      <alignment horizontal="left" vertical="top" wrapText="1"/>
    </xf>
    <xf numFmtId="0" fontId="13" fillId="0" borderId="0" xfId="0" applyFont="1" applyAlignment="1">
      <alignment horizontal="left" vertical="top" wrapText="1"/>
    </xf>
    <xf numFmtId="1" fontId="2" fillId="6" borderId="0" xfId="0" applyNumberFormat="1" applyFont="1" applyFill="1" applyAlignment="1">
      <alignment horizontal="left" vertical="top" wrapText="1"/>
    </xf>
    <xf numFmtId="1" fontId="2" fillId="3" borderId="0" xfId="0" applyNumberFormat="1" applyFont="1" applyFill="1" applyAlignment="1">
      <alignment horizontal="left" vertical="top" wrapText="1"/>
    </xf>
    <xf numFmtId="0" fontId="0" fillId="0" borderId="0" xfId="0" applyFont="1" applyFill="1" applyBorder="1" applyAlignment="1">
      <alignment horizontal="left" vertical="top"/>
    </xf>
    <xf numFmtId="0" fontId="13" fillId="0" borderId="0" xfId="0" applyFont="1" applyFill="1" applyAlignment="1">
      <alignment horizontal="left" vertical="top" wrapText="1"/>
    </xf>
  </cellXfs>
  <cellStyles count="19">
    <cellStyle name="Comma" xfId="11" builtinId="3"/>
    <cellStyle name="Currency" xfId="9" builtinId="4"/>
    <cellStyle name="Hyperlink" xfId="10" builtinId="8"/>
    <cellStyle name="Normal" xfId="0" builtinId="0"/>
    <cellStyle name="Normal 2" xfId="4" xr:uid="{00000000-0005-0000-0000-000004000000}"/>
    <cellStyle name="Normal 3" xfId="2" xr:uid="{00000000-0005-0000-0000-000005000000}"/>
    <cellStyle name="Normal 4" xfId="7" xr:uid="{00000000-0005-0000-0000-000006000000}"/>
    <cellStyle name="Normal 5" xfId="6" xr:uid="{00000000-0005-0000-0000-000007000000}"/>
    <cellStyle name="Normal 5 2" xfId="15" xr:uid="{00000000-0005-0000-0000-000008000000}"/>
    <cellStyle name="Normal 6" xfId="12" xr:uid="{00000000-0005-0000-0000-000009000000}"/>
    <cellStyle name="Normal 6 2" xfId="17" xr:uid="{00000000-0005-0000-0000-00000A000000}"/>
    <cellStyle name="Percent" xfId="1" builtinId="5"/>
    <cellStyle name="Percent 2" xfId="5" xr:uid="{00000000-0005-0000-0000-00000C000000}"/>
    <cellStyle name="Percent 3" xfId="3" xr:uid="{00000000-0005-0000-0000-00000D000000}"/>
    <cellStyle name="Percent 4" xfId="8" xr:uid="{00000000-0005-0000-0000-00000E000000}"/>
    <cellStyle name="Percent 5" xfId="13" xr:uid="{00000000-0005-0000-0000-00000F000000}"/>
    <cellStyle name="Percent 5 2" xfId="18" xr:uid="{00000000-0005-0000-0000-000010000000}"/>
    <cellStyle name="Percent 6" xfId="14" xr:uid="{00000000-0005-0000-0000-000011000000}"/>
    <cellStyle name="Percent 6 2" xfId="16"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11206</xdr:colOff>
      <xdr:row>16</xdr:row>
      <xdr:rowOff>212908</xdr:rowOff>
    </xdr:from>
    <xdr:to>
      <xdr:col>17</xdr:col>
      <xdr:colOff>1200711</xdr:colOff>
      <xdr:row>22</xdr:row>
      <xdr:rowOff>28571</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6353" y="4269437"/>
          <a:ext cx="3677211" cy="109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efault Theme">
  <a:themeElements>
    <a:clrScheme name="New Brand">
      <a:dk1>
        <a:sysClr val="windowText" lastClr="000000"/>
      </a:dk1>
      <a:lt1>
        <a:sysClr val="window" lastClr="FFFFFF"/>
      </a:lt1>
      <a:dk2>
        <a:srgbClr val="2E368F"/>
      </a:dk2>
      <a:lt2>
        <a:srgbClr val="00264D"/>
      </a:lt2>
      <a:accent1>
        <a:srgbClr val="FF3A40"/>
      </a:accent1>
      <a:accent2>
        <a:srgbClr val="F25E21"/>
      </a:accent2>
      <a:accent3>
        <a:srgbClr val="F8981D"/>
      </a:accent3>
      <a:accent4>
        <a:srgbClr val="FED13B"/>
      </a:accent4>
      <a:accent5>
        <a:srgbClr val="E6E6E1"/>
      </a:accent5>
      <a:accent6>
        <a:srgbClr val="25B3E0"/>
      </a:accent6>
      <a:hlink>
        <a:srgbClr val="0048C7"/>
      </a:hlink>
      <a:folHlink>
        <a:srgbClr val="0048C7"/>
      </a:folHlink>
    </a:clrScheme>
    <a:fontScheme name="Nous Font">
      <a:majorFont>
        <a:latin typeface="Segoe UI Semibold"/>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3"/>
          </a:solid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25400" cap="rnd">
          <a:solidFill>
            <a:schemeClr val="accent3"/>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mckinsey.com/~/media/mckinsey/business%20functions/organization/our%20insights/why%20diversity%20matters/diversity%20matters.ashx" TargetMode="External"/><Relationship Id="rId2" Type="http://schemas.openxmlformats.org/officeDocument/2006/relationships/hyperlink" Target="http://data.wgea.gov.au/industries/6" TargetMode="External"/><Relationship Id="rId1" Type="http://schemas.openxmlformats.org/officeDocument/2006/relationships/hyperlink" Target="https://www.wgea.gov.au/"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ople.stanford.edu/nbloom/sites/default/files/wfh.pdf" TargetMode="External"/><Relationship Id="rId1" Type="http://schemas.openxmlformats.org/officeDocument/2006/relationships/hyperlink" Target="http://www.ey.com/au/en/newsroom/news-releases/productivity-gains-stall---australia-has-305-billion-in-unrealised-productivit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andfonline.com.ezp.lib.unimelb.edu.au/doi/pdf/10.1080/13668800802027564?needAccess=true" TargetMode="External"/><Relationship Id="rId1" Type="http://schemas.openxmlformats.org/officeDocument/2006/relationships/hyperlink" Target="https://insightsresources.seek.com.au/page/gov-defenc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nao.gov.au/sites/g/files/net3721/f/ANAO_Report_2007-2008_31.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psc.gov.au/about-the-apsc/parliamentary/state-of-the-service/state-of-the-service-2013-14/sosr-2013-14/theme-two-effectiveness/chapter-8/attendance-in-the-aps-unscheduled-absence" TargetMode="External"/><Relationship Id="rId1" Type="http://schemas.openxmlformats.org/officeDocument/2006/relationships/hyperlink" Target="https://www.linkedin.com/pulse/20141031193914-60144-why-are-companies-are-still-scared-of-telecommutin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ckinsey.com/business-functions/organization/our-insights/unlocking-the-potential-of-frontline-manager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nao.gov.au/sites/g/files/net3721/f/ANAO_Report_2007-2008_3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R29"/>
  <sheetViews>
    <sheetView tabSelected="1" zoomScale="85" zoomScaleNormal="85" workbookViewId="0">
      <selection activeCell="B30" sqref="B30"/>
    </sheetView>
  </sheetViews>
  <sheetFormatPr defaultRowHeight="16.5" x14ac:dyDescent="0.3"/>
  <cols>
    <col min="1" max="1" width="2.125" style="274" customWidth="1"/>
    <col min="2" max="2" width="4" style="274" customWidth="1"/>
    <col min="3" max="3" width="4.25" style="153" customWidth="1"/>
    <col min="4" max="4" width="27.625" style="122" customWidth="1"/>
    <col min="5" max="6" width="15.875" style="30" customWidth="1"/>
    <col min="7" max="7" width="2.125" style="30" customWidth="1"/>
    <col min="8" max="8" width="4.25" style="30" customWidth="1"/>
    <col min="9" max="9" width="4.375" style="274" customWidth="1"/>
    <col min="10" max="10" width="20.25" style="274" customWidth="1"/>
    <col min="11" max="12" width="17.625" style="274" customWidth="1"/>
    <col min="13" max="13" width="2.25" style="274" customWidth="1"/>
    <col min="14" max="14" width="40.5" style="274" customWidth="1"/>
    <col min="15" max="16" width="2.25" style="274" customWidth="1"/>
    <col min="17" max="17" width="28.25" style="274" customWidth="1"/>
    <col min="18" max="18" width="18.5" style="274" customWidth="1"/>
    <col min="19" max="16384" width="9" style="274"/>
  </cols>
  <sheetData>
    <row r="1" spans="2:18" x14ac:dyDescent="0.3">
      <c r="B1" s="403" t="s">
        <v>382</v>
      </c>
      <c r="C1" s="413"/>
      <c r="D1" s="414"/>
      <c r="E1" s="415"/>
      <c r="F1" s="415"/>
      <c r="G1" s="415"/>
      <c r="H1" s="415"/>
      <c r="I1" s="228"/>
      <c r="J1" s="228"/>
      <c r="K1" s="228"/>
      <c r="L1" s="228"/>
      <c r="M1" s="228"/>
      <c r="N1" s="228"/>
      <c r="O1" s="228"/>
      <c r="P1" s="228"/>
      <c r="Q1" s="228"/>
      <c r="R1" s="228"/>
    </row>
    <row r="2" spans="2:18" x14ac:dyDescent="0.3">
      <c r="B2" s="297" t="s">
        <v>383</v>
      </c>
      <c r="C2" s="405"/>
      <c r="D2" s="406"/>
      <c r="E2" s="407"/>
      <c r="F2" s="407"/>
      <c r="G2" s="407"/>
      <c r="H2" s="407"/>
      <c r="I2" s="297"/>
      <c r="J2" s="297"/>
      <c r="K2" s="297"/>
      <c r="L2" s="297"/>
      <c r="M2" s="297"/>
      <c r="N2" s="297"/>
      <c r="O2" s="297"/>
      <c r="P2" s="297"/>
      <c r="Q2" s="297"/>
      <c r="R2" s="297"/>
    </row>
    <row r="4" spans="2:18" ht="33" customHeight="1" x14ac:dyDescent="0.3">
      <c r="B4" s="421" t="s">
        <v>2</v>
      </c>
      <c r="C4" s="421"/>
      <c r="D4" s="421"/>
      <c r="E4" s="330" t="s">
        <v>119</v>
      </c>
      <c r="F4" s="330" t="s">
        <v>229</v>
      </c>
      <c r="G4" s="271"/>
      <c r="H4" s="422" t="s">
        <v>2</v>
      </c>
      <c r="I4" s="422"/>
      <c r="J4" s="422"/>
      <c r="K4" s="331" t="s">
        <v>73</v>
      </c>
      <c r="L4" s="331" t="s">
        <v>230</v>
      </c>
      <c r="N4" s="423" t="s">
        <v>231</v>
      </c>
      <c r="Q4" s="419" t="s">
        <v>232</v>
      </c>
      <c r="R4" s="419"/>
    </row>
    <row r="5" spans="2:18" ht="17.25" thickBot="1" x14ac:dyDescent="0.35">
      <c r="B5" s="332"/>
      <c r="C5" s="332"/>
      <c r="D5" s="332"/>
      <c r="E5" s="330"/>
      <c r="F5" s="330"/>
      <c r="G5" s="271"/>
      <c r="H5" s="333"/>
      <c r="I5" s="333"/>
      <c r="J5" s="333"/>
      <c r="K5" s="331"/>
      <c r="L5" s="331"/>
      <c r="N5" s="424"/>
      <c r="Q5" s="419"/>
      <c r="R5" s="419"/>
    </row>
    <row r="6" spans="2:18" ht="17.25" thickBot="1" x14ac:dyDescent="0.35">
      <c r="B6" s="420"/>
      <c r="C6" s="153" t="s">
        <v>74</v>
      </c>
      <c r="D6" s="154" t="s">
        <v>3</v>
      </c>
      <c r="E6" s="150">
        <f>'A1 - Productivity'!D7</f>
        <v>29792452.393623173</v>
      </c>
      <c r="F6" s="334">
        <f>E6/$E$12</f>
        <v>0.81038020964545188</v>
      </c>
      <c r="G6" s="271"/>
      <c r="H6" s="420"/>
      <c r="I6" s="153" t="s">
        <v>78</v>
      </c>
      <c r="J6" s="154" t="s">
        <v>185</v>
      </c>
      <c r="K6" s="150">
        <f>'B1 - Management Burden'!D7</f>
        <v>3502500</v>
      </c>
      <c r="L6" s="334">
        <f>K6/$K$12</f>
        <v>0.41596633959366203</v>
      </c>
      <c r="N6" s="335">
        <f>E12-K12</f>
        <v>28343396.346300635</v>
      </c>
      <c r="Q6" s="274" t="s">
        <v>233</v>
      </c>
      <c r="R6" s="140">
        <v>7.0000000000000007E-2</v>
      </c>
    </row>
    <row r="7" spans="2:18" ht="33" customHeight="1" x14ac:dyDescent="0.3">
      <c r="B7" s="420"/>
      <c r="C7" s="153" t="s">
        <v>75</v>
      </c>
      <c r="D7" s="155" t="s">
        <v>32</v>
      </c>
      <c r="E7" s="150">
        <f>'A2 - Recruitment'!D7</f>
        <v>484008.00000000006</v>
      </c>
      <c r="F7" s="334">
        <f t="shared" ref="F7:F9" si="0">E7/$E$12</f>
        <v>1.3165431946583544E-2</v>
      </c>
      <c r="G7" s="271"/>
      <c r="H7" s="420"/>
      <c r="I7" s="153" t="s">
        <v>79</v>
      </c>
      <c r="J7" s="155" t="s">
        <v>166</v>
      </c>
      <c r="K7" s="150">
        <f>'B2 - Marginal Onboarding Burden'!D7</f>
        <v>2700000</v>
      </c>
      <c r="L7" s="334">
        <f t="shared" ref="L7:L11" si="1">K7/$K$12</f>
        <v>0.32065927677455747</v>
      </c>
      <c r="Q7" s="274" t="s">
        <v>234</v>
      </c>
      <c r="R7" s="152">
        <f>N6</f>
        <v>28343396.346300635</v>
      </c>
    </row>
    <row r="8" spans="2:18" ht="16.5" customHeight="1" x14ac:dyDescent="0.3">
      <c r="B8" s="420"/>
      <c r="C8" s="153" t="s">
        <v>76</v>
      </c>
      <c r="D8" s="154" t="s">
        <v>125</v>
      </c>
      <c r="E8" s="156">
        <f>'A3 - Retention'!$D$7</f>
        <v>4644000.0000000009</v>
      </c>
      <c r="F8" s="334">
        <f t="shared" si="0"/>
        <v>0.12632077560687838</v>
      </c>
      <c r="G8" s="271"/>
      <c r="H8" s="420"/>
      <c r="I8" s="153" t="s">
        <v>81</v>
      </c>
      <c r="J8" s="155" t="s">
        <v>235</v>
      </c>
      <c r="K8" s="156">
        <f>'B3 - Flex implementation'!D7</f>
        <v>396902.46575342462</v>
      </c>
      <c r="L8" s="334">
        <f t="shared" si="1"/>
        <v>4.7137206525382114E-2</v>
      </c>
      <c r="N8" s="272" t="s">
        <v>313</v>
      </c>
      <c r="Q8" s="274" t="s">
        <v>236</v>
      </c>
      <c r="R8" s="280">
        <f>N6/(1+$R$6)</f>
        <v>26489155.463832367</v>
      </c>
    </row>
    <row r="9" spans="2:18" ht="16.5" customHeight="1" x14ac:dyDescent="0.3">
      <c r="B9" s="420"/>
      <c r="C9" s="158" t="s">
        <v>77</v>
      </c>
      <c r="D9" s="336" t="s">
        <v>4</v>
      </c>
      <c r="E9" s="337">
        <f>'A4 - Absenteeism'!D7</f>
        <v>1843088.4184308844</v>
      </c>
      <c r="F9" s="334">
        <f t="shared" si="0"/>
        <v>5.0133582801086145E-2</v>
      </c>
      <c r="G9" s="271"/>
      <c r="H9" s="420"/>
      <c r="I9" s="158" t="s">
        <v>85</v>
      </c>
      <c r="J9" s="159" t="s">
        <v>237</v>
      </c>
      <c r="K9" s="337">
        <f>'B4 - IT expense'!D7</f>
        <v>1500000</v>
      </c>
      <c r="L9" s="334">
        <f t="shared" si="1"/>
        <v>0.17814404265253192</v>
      </c>
      <c r="N9" s="280">
        <v>1500000000</v>
      </c>
      <c r="Q9" s="274" t="s">
        <v>238</v>
      </c>
      <c r="R9" s="280">
        <f>$R$7/(1+$R$6)^2</f>
        <v>24756220.059656419</v>
      </c>
    </row>
    <row r="10" spans="2:18" ht="16.5" customHeight="1" x14ac:dyDescent="0.3">
      <c r="B10" s="420"/>
      <c r="C10" s="158"/>
      <c r="D10" s="338"/>
      <c r="E10" s="365"/>
      <c r="F10" s="365"/>
      <c r="G10" s="271"/>
      <c r="H10" s="420"/>
      <c r="I10" s="158" t="s">
        <v>109</v>
      </c>
      <c r="J10" s="159" t="s">
        <v>239</v>
      </c>
      <c r="K10" s="401">
        <f>'B5 - Office Rental Expense'!D7</f>
        <v>248749.99999999997</v>
      </c>
      <c r="L10" s="402">
        <f t="shared" si="1"/>
        <v>2.9542220406544875E-2</v>
      </c>
      <c r="Q10" s="274" t="s">
        <v>240</v>
      </c>
      <c r="R10" s="280">
        <f>$R$7/(1+$R$6)^3</f>
        <v>23136654.261361137</v>
      </c>
    </row>
    <row r="11" spans="2:18" ht="17.25" customHeight="1" thickBot="1" x14ac:dyDescent="0.35">
      <c r="B11" s="283"/>
      <c r="C11" s="339"/>
      <c r="D11" s="340"/>
      <c r="E11" s="341"/>
      <c r="F11" s="342"/>
      <c r="G11" s="271"/>
      <c r="H11" s="283"/>
      <c r="I11" s="157" t="s">
        <v>126</v>
      </c>
      <c r="J11" s="343" t="s">
        <v>123</v>
      </c>
      <c r="K11" s="344">
        <f>'B6 - Backfill'!D7</f>
        <v>72000</v>
      </c>
      <c r="L11" s="334">
        <f t="shared" si="1"/>
        <v>8.5509140473215318E-3</v>
      </c>
      <c r="Q11" s="274" t="s">
        <v>241</v>
      </c>
      <c r="R11" s="280">
        <f>$R$7/(1+$R$6)^4</f>
        <v>21623041.365758076</v>
      </c>
    </row>
    <row r="12" spans="2:18" ht="18" thickTop="1" thickBot="1" x14ac:dyDescent="0.35">
      <c r="B12" s="283"/>
      <c r="C12" s="85" t="s">
        <v>127</v>
      </c>
      <c r="D12" s="18"/>
      <c r="E12" s="345">
        <f>SUM(E6:E9)</f>
        <v>36763548.81205406</v>
      </c>
      <c r="F12" s="342"/>
      <c r="G12" s="271"/>
      <c r="H12" s="283"/>
      <c r="I12" s="85" t="s">
        <v>105</v>
      </c>
      <c r="J12" s="18"/>
      <c r="K12" s="345">
        <f>SUM(K6:K11)</f>
        <v>8420152.4657534249</v>
      </c>
      <c r="L12" s="342"/>
      <c r="Q12" s="274" t="s">
        <v>242</v>
      </c>
      <c r="R12" s="346">
        <f>SUM(R7:R11)</f>
        <v>124348467.49690863</v>
      </c>
    </row>
    <row r="13" spans="2:18" ht="33" x14ac:dyDescent="0.3">
      <c r="B13" s="271"/>
      <c r="C13" s="271"/>
      <c r="D13" s="271"/>
      <c r="E13" s="271"/>
      <c r="F13" s="271"/>
      <c r="G13" s="271"/>
      <c r="H13" s="271"/>
      <c r="I13" s="158"/>
      <c r="J13" s="159"/>
      <c r="K13" s="160"/>
      <c r="L13" s="160"/>
      <c r="N13" s="374" t="s">
        <v>312</v>
      </c>
    </row>
    <row r="14" spans="2:18" x14ac:dyDescent="0.3">
      <c r="N14" s="375">
        <f>N6/N9</f>
        <v>1.8895597564200423E-2</v>
      </c>
    </row>
    <row r="15" spans="2:18" x14ac:dyDescent="0.3">
      <c r="N15" s="375"/>
    </row>
    <row r="16" spans="2:18" x14ac:dyDescent="0.3">
      <c r="B16" s="412" t="s">
        <v>381</v>
      </c>
      <c r="C16" s="409"/>
      <c r="D16" s="410"/>
      <c r="E16" s="411"/>
      <c r="F16" s="411"/>
      <c r="G16" s="411"/>
      <c r="H16" s="411"/>
      <c r="I16" s="408"/>
      <c r="J16" s="408"/>
      <c r="K16" s="408"/>
      <c r="L16" s="408"/>
      <c r="M16" s="408"/>
      <c r="N16" s="408"/>
      <c r="O16" s="408"/>
      <c r="P16" s="408"/>
      <c r="Q16" s="408"/>
      <c r="R16" s="408"/>
    </row>
    <row r="17" spans="2:18" x14ac:dyDescent="0.3">
      <c r="B17" s="417" t="s">
        <v>384</v>
      </c>
      <c r="C17" s="418"/>
      <c r="D17" s="418"/>
      <c r="E17" s="418"/>
      <c r="F17" s="418"/>
      <c r="G17" s="418"/>
      <c r="H17" s="418"/>
      <c r="I17" s="418"/>
      <c r="J17" s="418"/>
      <c r="K17" s="418"/>
      <c r="L17" s="418"/>
      <c r="M17" s="418"/>
      <c r="N17" s="418"/>
      <c r="O17" s="418"/>
      <c r="P17" s="418"/>
      <c r="Q17" s="418"/>
      <c r="R17" s="418"/>
    </row>
    <row r="18" spans="2:18" x14ac:dyDescent="0.3">
      <c r="B18" s="418"/>
      <c r="C18" s="418"/>
      <c r="D18" s="418"/>
      <c r="E18" s="418"/>
      <c r="F18" s="418"/>
      <c r="G18" s="418"/>
      <c r="H18" s="418"/>
      <c r="I18" s="418"/>
      <c r="J18" s="418"/>
      <c r="K18" s="418"/>
      <c r="L18" s="418"/>
      <c r="M18" s="418"/>
      <c r="N18" s="418"/>
      <c r="O18" s="418"/>
      <c r="P18" s="418"/>
      <c r="Q18" s="418"/>
      <c r="R18" s="418"/>
    </row>
    <row r="19" spans="2:18" x14ac:dyDescent="0.3">
      <c r="B19" s="418"/>
      <c r="C19" s="418"/>
      <c r="D19" s="418"/>
      <c r="E19" s="418"/>
      <c r="F19" s="418"/>
      <c r="G19" s="418"/>
      <c r="H19" s="418"/>
      <c r="I19" s="418"/>
      <c r="J19" s="418"/>
      <c r="K19" s="418"/>
      <c r="L19" s="418"/>
      <c r="M19" s="418"/>
      <c r="N19" s="418"/>
      <c r="O19" s="418"/>
      <c r="P19" s="418"/>
      <c r="Q19" s="418"/>
      <c r="R19" s="418"/>
    </row>
    <row r="20" spans="2:18" x14ac:dyDescent="0.3">
      <c r="B20" s="418"/>
      <c r="C20" s="418"/>
      <c r="D20" s="418"/>
      <c r="E20" s="418"/>
      <c r="F20" s="418"/>
      <c r="G20" s="418"/>
      <c r="H20" s="418"/>
      <c r="I20" s="418"/>
      <c r="J20" s="418"/>
      <c r="K20" s="418"/>
      <c r="L20" s="418"/>
      <c r="M20" s="418"/>
      <c r="N20" s="418"/>
      <c r="O20" s="418"/>
      <c r="P20" s="418"/>
      <c r="Q20" s="418"/>
      <c r="R20" s="418"/>
    </row>
    <row r="21" spans="2:18" x14ac:dyDescent="0.3">
      <c r="B21" s="418"/>
      <c r="C21" s="418"/>
      <c r="D21" s="418"/>
      <c r="E21" s="418"/>
      <c r="F21" s="418"/>
      <c r="G21" s="418"/>
      <c r="H21" s="418"/>
      <c r="I21" s="418"/>
      <c r="J21" s="418"/>
      <c r="K21" s="418"/>
      <c r="L21" s="418"/>
      <c r="M21" s="418"/>
      <c r="N21" s="418"/>
      <c r="O21" s="418"/>
      <c r="P21" s="418"/>
      <c r="Q21" s="418"/>
      <c r="R21" s="418"/>
    </row>
    <row r="22" spans="2:18" x14ac:dyDescent="0.3">
      <c r="B22" s="418"/>
      <c r="C22" s="418"/>
      <c r="D22" s="418"/>
      <c r="E22" s="418"/>
      <c r="F22" s="418"/>
      <c r="G22" s="418"/>
      <c r="H22" s="418"/>
      <c r="I22" s="418"/>
      <c r="J22" s="418"/>
      <c r="K22" s="418"/>
      <c r="L22" s="418"/>
      <c r="M22" s="418"/>
      <c r="N22" s="418"/>
      <c r="O22" s="418"/>
      <c r="P22" s="418"/>
      <c r="Q22" s="418"/>
      <c r="R22" s="418"/>
    </row>
    <row r="23" spans="2:18" x14ac:dyDescent="0.3">
      <c r="B23" s="418"/>
      <c r="C23" s="418"/>
      <c r="D23" s="418"/>
      <c r="E23" s="418"/>
      <c r="F23" s="418"/>
      <c r="G23" s="418"/>
      <c r="H23" s="418"/>
      <c r="I23" s="418"/>
      <c r="J23" s="418"/>
      <c r="K23" s="418"/>
      <c r="L23" s="418"/>
      <c r="M23" s="418"/>
      <c r="N23" s="418"/>
      <c r="O23" s="418"/>
      <c r="P23" s="418"/>
      <c r="Q23" s="418"/>
      <c r="R23" s="418"/>
    </row>
    <row r="24" spans="2:18" x14ac:dyDescent="0.3">
      <c r="B24" s="418"/>
      <c r="C24" s="418"/>
      <c r="D24" s="418"/>
      <c r="E24" s="418"/>
      <c r="F24" s="418"/>
      <c r="G24" s="418"/>
      <c r="H24" s="418"/>
      <c r="I24" s="418"/>
      <c r="J24" s="418"/>
      <c r="K24" s="418"/>
      <c r="L24" s="418"/>
      <c r="M24" s="418"/>
      <c r="N24" s="418"/>
      <c r="O24" s="418"/>
      <c r="P24" s="418"/>
      <c r="Q24" s="418"/>
      <c r="R24" s="418"/>
    </row>
    <row r="25" spans="2:18" x14ac:dyDescent="0.3">
      <c r="B25" s="418"/>
      <c r="C25" s="418"/>
      <c r="D25" s="418"/>
      <c r="E25" s="418"/>
      <c r="F25" s="418"/>
      <c r="G25" s="418"/>
      <c r="H25" s="418"/>
      <c r="I25" s="418"/>
      <c r="J25" s="418"/>
      <c r="K25" s="418"/>
      <c r="L25" s="418"/>
      <c r="M25" s="418"/>
      <c r="N25" s="418"/>
      <c r="O25" s="418"/>
      <c r="P25" s="418"/>
      <c r="Q25" s="418"/>
      <c r="R25" s="418"/>
    </row>
    <row r="26" spans="2:18" x14ac:dyDescent="0.3">
      <c r="B26" s="418"/>
      <c r="C26" s="418"/>
      <c r="D26" s="418"/>
      <c r="E26" s="418"/>
      <c r="F26" s="418"/>
      <c r="G26" s="418"/>
      <c r="H26" s="418"/>
      <c r="I26" s="418"/>
      <c r="J26" s="418"/>
      <c r="K26" s="418"/>
      <c r="L26" s="418"/>
      <c r="M26" s="418"/>
      <c r="N26" s="418"/>
      <c r="O26" s="418"/>
      <c r="P26" s="418"/>
      <c r="Q26" s="418"/>
      <c r="R26" s="418"/>
    </row>
    <row r="27" spans="2:18" x14ac:dyDescent="0.3">
      <c r="B27" s="418"/>
      <c r="C27" s="418"/>
      <c r="D27" s="418"/>
      <c r="E27" s="418"/>
      <c r="F27" s="418"/>
      <c r="G27" s="418"/>
      <c r="H27" s="418"/>
      <c r="I27" s="418"/>
      <c r="J27" s="418"/>
      <c r="K27" s="418"/>
      <c r="L27" s="418"/>
      <c r="M27" s="418"/>
      <c r="N27" s="418"/>
      <c r="O27" s="418"/>
      <c r="P27" s="418"/>
      <c r="Q27" s="418"/>
      <c r="R27" s="418"/>
    </row>
    <row r="28" spans="2:18" x14ac:dyDescent="0.3">
      <c r="B28" s="418"/>
      <c r="C28" s="418"/>
      <c r="D28" s="418"/>
      <c r="E28" s="418"/>
      <c r="F28" s="418"/>
      <c r="G28" s="418"/>
      <c r="H28" s="418"/>
      <c r="I28" s="418"/>
      <c r="J28" s="418"/>
      <c r="K28" s="418"/>
      <c r="L28" s="418"/>
      <c r="M28" s="418"/>
      <c r="N28" s="418"/>
      <c r="O28" s="418"/>
      <c r="P28" s="418"/>
      <c r="Q28" s="418"/>
      <c r="R28" s="418"/>
    </row>
    <row r="29" spans="2:18" x14ac:dyDescent="0.3">
      <c r="B29" s="418"/>
      <c r="C29" s="418"/>
      <c r="D29" s="418"/>
      <c r="E29" s="418"/>
      <c r="F29" s="418"/>
      <c r="G29" s="418"/>
      <c r="H29" s="418"/>
      <c r="I29" s="418"/>
      <c r="J29" s="418"/>
      <c r="K29" s="418"/>
      <c r="L29" s="418"/>
      <c r="M29" s="418"/>
      <c r="N29" s="418"/>
      <c r="O29" s="418"/>
      <c r="P29" s="418"/>
      <c r="Q29" s="418"/>
      <c r="R29" s="418"/>
    </row>
  </sheetData>
  <mergeCells count="7">
    <mergeCell ref="B17:R29"/>
    <mergeCell ref="Q4:R5"/>
    <mergeCell ref="B6:B10"/>
    <mergeCell ref="H6:H10"/>
    <mergeCell ref="B4:D4"/>
    <mergeCell ref="H4:J4"/>
    <mergeCell ref="N4: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X63"/>
  <sheetViews>
    <sheetView topLeftCell="A7" zoomScale="70" zoomScaleNormal="70" zoomScaleSheetLayoutView="100" workbookViewId="0">
      <selection activeCell="C19" sqref="C19:D29"/>
    </sheetView>
  </sheetViews>
  <sheetFormatPr defaultRowHeight="16.5" x14ac:dyDescent="0.3"/>
  <cols>
    <col min="1" max="1" width="3.5" style="271" customWidth="1"/>
    <col min="2" max="2" width="3.125" style="10" customWidth="1"/>
    <col min="3" max="3" width="24.125" style="274" customWidth="1"/>
    <col min="4" max="4" width="43.25" style="271" customWidth="1"/>
    <col min="5" max="5" width="1.625" style="185" customWidth="1"/>
    <col min="6" max="6" width="22.125" style="271" customWidth="1"/>
    <col min="7" max="8" width="17.75" style="271" customWidth="1"/>
    <col min="9" max="9" width="18" style="271" customWidth="1"/>
    <col min="10" max="10" width="1.625" style="185" customWidth="1"/>
    <col min="11" max="13" width="11.25" style="271" customWidth="1"/>
    <col min="14" max="14" width="17.375" style="271" customWidth="1"/>
    <col min="15" max="19" width="9" style="271"/>
    <col min="20" max="20" width="14.125" style="271" customWidth="1"/>
    <col min="21" max="16384" width="9" style="271"/>
  </cols>
  <sheetData>
    <row r="1" spans="2:14" x14ac:dyDescent="0.3">
      <c r="C1" s="271"/>
      <c r="J1" s="271"/>
    </row>
    <row r="2" spans="2:14" x14ac:dyDescent="0.3">
      <c r="C2" s="207" t="s">
        <v>10</v>
      </c>
      <c r="D2" s="13" t="s">
        <v>15</v>
      </c>
      <c r="E2" s="32"/>
      <c r="J2" s="271"/>
      <c r="K2" s="207" t="s">
        <v>23</v>
      </c>
      <c r="L2" s="427" t="s">
        <v>140</v>
      </c>
      <c r="M2" s="427"/>
      <c r="N2" s="427"/>
    </row>
    <row r="3" spans="2:14" x14ac:dyDescent="0.3">
      <c r="C3" s="207" t="s">
        <v>11</v>
      </c>
      <c r="D3" s="13" t="s">
        <v>248</v>
      </c>
      <c r="J3" s="271"/>
      <c r="L3" s="441" t="s">
        <v>13</v>
      </c>
      <c r="M3" s="441"/>
      <c r="N3" s="441"/>
    </row>
    <row r="4" spans="2:14" ht="17.25" thickBot="1" x14ac:dyDescent="0.35">
      <c r="C4" s="207" t="s">
        <v>22</v>
      </c>
      <c r="D4" s="271" t="s">
        <v>298</v>
      </c>
      <c r="F4" s="274"/>
      <c r="J4" s="271"/>
      <c r="L4" s="442" t="s">
        <v>141</v>
      </c>
      <c r="M4" s="442"/>
      <c r="N4" s="442"/>
    </row>
    <row r="5" spans="2:14" ht="17.25" thickBot="1" x14ac:dyDescent="0.35">
      <c r="C5" s="207"/>
      <c r="D5" s="13"/>
      <c r="J5" s="271"/>
      <c r="L5" s="444" t="s">
        <v>55</v>
      </c>
      <c r="M5" s="445"/>
      <c r="N5" s="446"/>
    </row>
    <row r="6" spans="2:14" x14ac:dyDescent="0.3">
      <c r="C6" s="207"/>
      <c r="D6" s="13"/>
      <c r="J6" s="271"/>
      <c r="L6" s="303"/>
      <c r="M6" s="303"/>
      <c r="N6" s="303"/>
    </row>
    <row r="7" spans="2:14" x14ac:dyDescent="0.3">
      <c r="C7" s="207" t="s">
        <v>215</v>
      </c>
      <c r="D7" s="404">
        <f>G29</f>
        <v>248749.99999999997</v>
      </c>
      <c r="J7" s="271"/>
      <c r="L7" s="303"/>
      <c r="M7" s="303"/>
      <c r="N7" s="303"/>
    </row>
    <row r="8" spans="2:14" ht="82.5" x14ac:dyDescent="0.3">
      <c r="B8" s="38"/>
      <c r="C8" s="73" t="s">
        <v>12</v>
      </c>
      <c r="D8" s="72" t="s">
        <v>299</v>
      </c>
      <c r="E8" s="33"/>
      <c r="F8" s="7"/>
      <c r="G8" s="7"/>
      <c r="H8" s="7"/>
      <c r="I8" s="7"/>
      <c r="J8" s="7"/>
      <c r="K8" s="7"/>
      <c r="L8" s="7"/>
      <c r="M8" s="7"/>
      <c r="N8" s="7"/>
    </row>
    <row r="9" spans="2:14" x14ac:dyDescent="0.3">
      <c r="C9" s="271"/>
      <c r="J9" s="271"/>
    </row>
    <row r="10" spans="2:14" x14ac:dyDescent="0.3">
      <c r="B10" s="27" t="s">
        <v>14</v>
      </c>
      <c r="C10" s="202"/>
      <c r="D10" s="202"/>
      <c r="E10" s="202"/>
      <c r="F10" s="202"/>
      <c r="G10" s="202"/>
      <c r="H10" s="202"/>
      <c r="I10" s="202"/>
      <c r="J10" s="202"/>
      <c r="K10" s="202"/>
      <c r="L10" s="202"/>
      <c r="M10" s="202"/>
      <c r="N10" s="202"/>
    </row>
    <row r="11" spans="2:14" ht="16.5" customHeight="1" x14ac:dyDescent="0.3">
      <c r="B11" s="463" t="s">
        <v>372</v>
      </c>
      <c r="C11" s="463"/>
      <c r="D11" s="463"/>
      <c r="E11" s="463"/>
      <c r="F11" s="463"/>
      <c r="G11" s="463"/>
      <c r="H11" s="463"/>
      <c r="I11" s="463"/>
      <c r="J11" s="463"/>
      <c r="K11" s="463"/>
      <c r="L11" s="463"/>
      <c r="M11" s="463"/>
      <c r="N11" s="463"/>
    </row>
    <row r="12" spans="2:14" ht="16.5" customHeight="1" x14ac:dyDescent="0.3">
      <c r="B12" s="463"/>
      <c r="C12" s="463"/>
      <c r="D12" s="463"/>
      <c r="E12" s="463"/>
      <c r="F12" s="463"/>
      <c r="G12" s="463"/>
      <c r="H12" s="463"/>
      <c r="I12" s="463"/>
      <c r="J12" s="463"/>
      <c r="K12" s="463"/>
      <c r="L12" s="463"/>
      <c r="M12" s="463"/>
      <c r="N12" s="463"/>
    </row>
    <row r="13" spans="2:14" x14ac:dyDescent="0.3">
      <c r="B13" s="463"/>
      <c r="C13" s="463"/>
      <c r="D13" s="463"/>
      <c r="E13" s="463"/>
      <c r="F13" s="463"/>
      <c r="G13" s="463"/>
      <c r="H13" s="463"/>
      <c r="I13" s="463"/>
      <c r="J13" s="463"/>
      <c r="K13" s="463"/>
      <c r="L13" s="463"/>
      <c r="M13" s="463"/>
      <c r="N13" s="463"/>
    </row>
    <row r="14" spans="2:14" x14ac:dyDescent="0.3">
      <c r="B14" s="377"/>
      <c r="C14" s="377"/>
      <c r="D14" s="377"/>
      <c r="E14" s="377"/>
      <c r="F14" s="377"/>
      <c r="G14" s="377"/>
      <c r="H14" s="377"/>
      <c r="I14" s="377"/>
      <c r="J14" s="377"/>
      <c r="K14" s="377"/>
      <c r="L14" s="377"/>
      <c r="M14" s="377"/>
      <c r="N14" s="377"/>
    </row>
    <row r="15" spans="2:14" x14ac:dyDescent="0.3">
      <c r="B15" s="27" t="s">
        <v>16</v>
      </c>
      <c r="C15" s="202"/>
      <c r="D15" s="202"/>
      <c r="E15" s="202"/>
      <c r="F15" s="202"/>
      <c r="G15" s="202"/>
      <c r="H15" s="202"/>
      <c r="I15" s="202"/>
      <c r="J15" s="202"/>
      <c r="K15" s="202"/>
      <c r="L15" s="202"/>
      <c r="M15" s="202"/>
      <c r="N15" s="202"/>
    </row>
    <row r="16" spans="2:14" ht="35.25" customHeight="1" x14ac:dyDescent="0.3">
      <c r="B16" s="381">
        <v>1</v>
      </c>
      <c r="C16" s="425" t="s">
        <v>373</v>
      </c>
      <c r="D16" s="443"/>
      <c r="E16" s="443"/>
      <c r="F16" s="443"/>
      <c r="G16" s="443"/>
      <c r="H16" s="443"/>
      <c r="I16" s="443"/>
      <c r="J16" s="443"/>
      <c r="K16" s="443"/>
      <c r="L16" s="443"/>
      <c r="M16" s="443"/>
      <c r="N16" s="443"/>
    </row>
    <row r="17" spans="2:20" x14ac:dyDescent="0.3">
      <c r="C17" s="271"/>
      <c r="J17" s="271"/>
    </row>
    <row r="18" spans="2:20" x14ac:dyDescent="0.3">
      <c r="B18" s="27" t="s">
        <v>26</v>
      </c>
      <c r="C18" s="202"/>
      <c r="D18" s="202"/>
      <c r="F18" s="380" t="s">
        <v>25</v>
      </c>
      <c r="G18" s="202"/>
      <c r="H18" s="202"/>
      <c r="I18" s="202"/>
      <c r="K18" s="380" t="s">
        <v>24</v>
      </c>
      <c r="L18" s="380"/>
      <c r="M18" s="380"/>
      <c r="N18" s="202"/>
    </row>
    <row r="19" spans="2:20" ht="56.25" customHeight="1" x14ac:dyDescent="0.3">
      <c r="B19" s="381">
        <v>1</v>
      </c>
      <c r="C19" s="476" t="s">
        <v>374</v>
      </c>
      <c r="D19" s="476"/>
      <c r="E19" s="219"/>
      <c r="F19" s="46" t="s">
        <v>310</v>
      </c>
      <c r="G19" s="46" t="s">
        <v>300</v>
      </c>
      <c r="H19" s="46" t="s">
        <v>301</v>
      </c>
      <c r="I19" s="46" t="s">
        <v>302</v>
      </c>
      <c r="K19" s="45" t="s">
        <v>29</v>
      </c>
      <c r="L19" s="45" t="s">
        <v>34</v>
      </c>
      <c r="M19" s="45" t="s">
        <v>19</v>
      </c>
      <c r="N19" s="46" t="s">
        <v>31</v>
      </c>
      <c r="O19" s="219"/>
    </row>
    <row r="20" spans="2:20" x14ac:dyDescent="0.3">
      <c r="B20" s="381"/>
      <c r="C20" s="476"/>
      <c r="D20" s="476"/>
      <c r="F20" s="395">
        <v>995000</v>
      </c>
      <c r="G20" s="233">
        <f>2500*5</f>
        <v>12500</v>
      </c>
      <c r="H20" s="396">
        <v>1000</v>
      </c>
      <c r="I20" s="233">
        <v>1000</v>
      </c>
      <c r="K20" s="185" t="s">
        <v>261</v>
      </c>
      <c r="L20" s="185"/>
      <c r="M20" s="185"/>
      <c r="N20" s="185"/>
      <c r="R20" s="186"/>
      <c r="S20" s="185"/>
      <c r="T20" s="185"/>
    </row>
    <row r="21" spans="2:20" x14ac:dyDescent="0.3">
      <c r="B21" s="381"/>
      <c r="C21" s="476"/>
      <c r="D21" s="476"/>
      <c r="I21" s="185"/>
      <c r="K21" s="185"/>
      <c r="L21" s="185"/>
      <c r="M21" s="185"/>
      <c r="N21" s="185"/>
      <c r="R21" s="186"/>
      <c r="S21" s="185"/>
      <c r="T21" s="185"/>
    </row>
    <row r="22" spans="2:20" ht="33" x14ac:dyDescent="0.3">
      <c r="B22" s="381"/>
      <c r="C22" s="476"/>
      <c r="D22" s="476"/>
      <c r="F22" s="46" t="s">
        <v>303</v>
      </c>
      <c r="G22" s="46" t="s">
        <v>304</v>
      </c>
      <c r="H22" s="46" t="s">
        <v>305</v>
      </c>
      <c r="I22" s="46"/>
      <c r="K22" s="185"/>
      <c r="L22" s="185"/>
      <c r="M22" s="185"/>
      <c r="N22" s="185"/>
      <c r="R22" s="186"/>
      <c r="S22" s="185"/>
      <c r="T22" s="185"/>
    </row>
    <row r="23" spans="2:20" x14ac:dyDescent="0.3">
      <c r="B23" s="381"/>
      <c r="C23" s="476"/>
      <c r="D23" s="476"/>
      <c r="F23" s="397">
        <f>G20/H20</f>
        <v>12.5</v>
      </c>
      <c r="G23" s="398">
        <f>F20/G20</f>
        <v>79.599999999999994</v>
      </c>
      <c r="H23" s="398">
        <f>G23*F23</f>
        <v>994.99999999999989</v>
      </c>
      <c r="I23" s="185"/>
      <c r="K23" s="185"/>
      <c r="L23" s="185"/>
      <c r="M23" s="185"/>
      <c r="N23" s="185"/>
      <c r="R23" s="186"/>
      <c r="S23" s="185"/>
      <c r="T23" s="185"/>
    </row>
    <row r="24" spans="2:20" x14ac:dyDescent="0.3">
      <c r="B24" s="381"/>
      <c r="C24" s="476"/>
      <c r="D24" s="476"/>
      <c r="I24" s="185"/>
      <c r="K24" s="185"/>
      <c r="L24" s="185"/>
      <c r="M24" s="185"/>
      <c r="N24" s="185"/>
      <c r="R24" s="186"/>
      <c r="S24" s="185"/>
      <c r="T24" s="185"/>
    </row>
    <row r="25" spans="2:20" ht="49.5" customHeight="1" x14ac:dyDescent="0.3">
      <c r="B25" s="381"/>
      <c r="C25" s="476"/>
      <c r="D25" s="476"/>
      <c r="F25" s="190" t="s">
        <v>80</v>
      </c>
      <c r="G25" s="190" t="s">
        <v>308</v>
      </c>
      <c r="H25" s="190" t="s">
        <v>306</v>
      </c>
      <c r="I25" s="190" t="s">
        <v>309</v>
      </c>
      <c r="K25" s="185"/>
      <c r="L25" s="185"/>
      <c r="M25" s="185"/>
      <c r="N25" s="185"/>
      <c r="R25" s="186"/>
      <c r="S25" s="185"/>
      <c r="T25" s="185"/>
    </row>
    <row r="26" spans="2:20" x14ac:dyDescent="0.3">
      <c r="B26" s="381"/>
      <c r="C26" s="476"/>
      <c r="D26" s="476"/>
      <c r="F26" s="5">
        <v>2000</v>
      </c>
      <c r="G26" s="5">
        <v>1500</v>
      </c>
      <c r="H26" s="115">
        <f>F26/G26</f>
        <v>1.3333333333333333</v>
      </c>
      <c r="I26" s="301">
        <f>H20/H26</f>
        <v>750</v>
      </c>
      <c r="K26" s="185"/>
      <c r="L26" s="185"/>
      <c r="M26" s="185"/>
      <c r="N26" s="185"/>
      <c r="P26" s="104"/>
      <c r="Q26" s="104"/>
      <c r="R26" s="104"/>
      <c r="S26" s="104"/>
      <c r="T26" s="185"/>
    </row>
    <row r="27" spans="2:20" x14ac:dyDescent="0.3">
      <c r="B27" s="381"/>
      <c r="C27" s="476"/>
      <c r="D27" s="476"/>
      <c r="I27" s="185"/>
      <c r="K27" s="185"/>
      <c r="L27" s="185"/>
      <c r="M27" s="185"/>
      <c r="N27" s="185"/>
      <c r="R27" s="186"/>
      <c r="S27" s="185"/>
      <c r="T27" s="185"/>
    </row>
    <row r="28" spans="2:20" ht="83.25" customHeight="1" thickBot="1" x14ac:dyDescent="0.35">
      <c r="B28" s="381"/>
      <c r="C28" s="476"/>
      <c r="D28" s="476"/>
      <c r="F28" s="399" t="s">
        <v>311</v>
      </c>
      <c r="G28" s="399" t="s">
        <v>307</v>
      </c>
      <c r="I28" s="185"/>
      <c r="K28" s="185"/>
      <c r="L28" s="185"/>
      <c r="M28" s="185"/>
      <c r="N28" s="185"/>
      <c r="R28" s="186"/>
      <c r="S28" s="185"/>
      <c r="T28" s="185"/>
    </row>
    <row r="29" spans="2:20" ht="17.25" thickBot="1" x14ac:dyDescent="0.35">
      <c r="B29" s="381"/>
      <c r="C29" s="476"/>
      <c r="D29" s="476"/>
      <c r="F29" s="301">
        <f>H20-I26</f>
        <v>250</v>
      </c>
      <c r="G29" s="400">
        <f>F29*H23</f>
        <v>248749.99999999997</v>
      </c>
      <c r="I29" s="185"/>
      <c r="K29" s="185"/>
      <c r="L29" s="185"/>
      <c r="M29" s="185"/>
      <c r="N29" s="185"/>
      <c r="R29" s="186"/>
      <c r="S29" s="185"/>
      <c r="T29" s="185"/>
    </row>
    <row r="30" spans="2:20" x14ac:dyDescent="0.3">
      <c r="B30" s="271"/>
      <c r="C30" s="271"/>
      <c r="E30" s="271"/>
      <c r="J30" s="271"/>
    </row>
    <row r="31" spans="2:20" x14ac:dyDescent="0.3">
      <c r="B31" s="271"/>
      <c r="C31" s="271"/>
      <c r="E31" s="271"/>
      <c r="J31" s="271"/>
    </row>
    <row r="32" spans="2:20" x14ac:dyDescent="0.3">
      <c r="B32" s="271"/>
      <c r="C32" s="271"/>
      <c r="E32" s="271"/>
      <c r="J32" s="271"/>
    </row>
    <row r="33" spans="2:10" x14ac:dyDescent="0.3">
      <c r="B33" s="271"/>
      <c r="C33" s="271"/>
      <c r="E33" s="271"/>
      <c r="J33" s="271"/>
    </row>
    <row r="34" spans="2:10" x14ac:dyDescent="0.3">
      <c r="B34" s="271"/>
      <c r="C34" s="271"/>
      <c r="E34" s="271"/>
      <c r="J34" s="271"/>
    </row>
    <row r="35" spans="2:10" x14ac:dyDescent="0.3">
      <c r="B35" s="271"/>
      <c r="C35" s="271"/>
      <c r="E35" s="271"/>
      <c r="J35" s="271"/>
    </row>
    <row r="36" spans="2:10" x14ac:dyDescent="0.3">
      <c r="B36" s="271"/>
      <c r="C36" s="271"/>
      <c r="E36" s="271"/>
      <c r="J36" s="271"/>
    </row>
    <row r="37" spans="2:10" ht="16.5" customHeight="1" x14ac:dyDescent="0.3">
      <c r="B37" s="271"/>
      <c r="C37" s="271"/>
      <c r="E37" s="271"/>
      <c r="J37" s="271"/>
    </row>
    <row r="38" spans="2:10" x14ac:dyDescent="0.3">
      <c r="B38" s="271"/>
      <c r="C38" s="271"/>
      <c r="E38" s="271"/>
      <c r="J38" s="271"/>
    </row>
    <row r="39" spans="2:10" x14ac:dyDescent="0.3">
      <c r="B39" s="271"/>
      <c r="C39" s="271"/>
      <c r="E39" s="271"/>
      <c r="J39" s="271"/>
    </row>
    <row r="40" spans="2:10" x14ac:dyDescent="0.3">
      <c r="B40" s="271"/>
      <c r="C40" s="271"/>
      <c r="E40" s="271"/>
      <c r="J40" s="271"/>
    </row>
    <row r="41" spans="2:10" x14ac:dyDescent="0.3">
      <c r="B41" s="271"/>
      <c r="C41" s="271"/>
      <c r="E41" s="271"/>
      <c r="J41" s="271"/>
    </row>
    <row r="42" spans="2:10" x14ac:dyDescent="0.3">
      <c r="B42" s="271"/>
      <c r="C42" s="271"/>
      <c r="E42" s="271"/>
      <c r="J42" s="271"/>
    </row>
    <row r="43" spans="2:10" x14ac:dyDescent="0.3">
      <c r="B43" s="271"/>
      <c r="C43" s="271"/>
      <c r="E43" s="271"/>
      <c r="J43" s="271"/>
    </row>
    <row r="44" spans="2:10" ht="75" customHeight="1" x14ac:dyDescent="0.3">
      <c r="B44" s="271"/>
      <c r="C44" s="271"/>
      <c r="E44" s="271"/>
      <c r="J44" s="271"/>
    </row>
    <row r="45" spans="2:10" x14ac:dyDescent="0.3">
      <c r="B45" s="271"/>
      <c r="C45" s="271"/>
      <c r="E45" s="271"/>
      <c r="J45" s="271"/>
    </row>
    <row r="46" spans="2:10" x14ac:dyDescent="0.3">
      <c r="B46" s="271"/>
      <c r="C46" s="271"/>
      <c r="E46" s="271"/>
      <c r="J46" s="271"/>
    </row>
    <row r="47" spans="2:10" ht="89.25" customHeight="1" x14ac:dyDescent="0.3">
      <c r="B47" s="271"/>
      <c r="C47" s="271"/>
      <c r="E47" s="271"/>
      <c r="J47" s="271"/>
    </row>
    <row r="48" spans="2:10" ht="17.25" customHeight="1" x14ac:dyDescent="0.3">
      <c r="B48" s="271"/>
      <c r="C48" s="271"/>
      <c r="E48" s="271"/>
      <c r="J48" s="271"/>
    </row>
    <row r="49" spans="1:24" ht="16.5" customHeight="1" x14ac:dyDescent="0.3">
      <c r="B49" s="271"/>
      <c r="C49" s="271"/>
      <c r="E49" s="271"/>
      <c r="J49" s="271"/>
    </row>
    <row r="50" spans="1:24" ht="34.5" customHeight="1" x14ac:dyDescent="0.3">
      <c r="B50" s="271"/>
      <c r="C50" s="271"/>
      <c r="E50" s="271"/>
      <c r="J50" s="271"/>
    </row>
    <row r="51" spans="1:24" x14ac:dyDescent="0.3">
      <c r="B51" s="271"/>
      <c r="C51" s="271"/>
      <c r="E51" s="271"/>
      <c r="J51" s="271"/>
    </row>
    <row r="52" spans="1:24" x14ac:dyDescent="0.3">
      <c r="B52" s="271"/>
      <c r="C52" s="271"/>
      <c r="E52" s="271"/>
      <c r="J52" s="271"/>
    </row>
    <row r="53" spans="1:24" ht="32.25" customHeight="1" x14ac:dyDescent="0.3">
      <c r="B53" s="271"/>
      <c r="C53" s="271"/>
      <c r="E53" s="271"/>
      <c r="J53" s="271"/>
    </row>
    <row r="54" spans="1:24" x14ac:dyDescent="0.3">
      <c r="B54" s="271"/>
      <c r="C54" s="271"/>
      <c r="E54" s="271"/>
      <c r="J54" s="271"/>
    </row>
    <row r="55" spans="1:24" x14ac:dyDescent="0.3">
      <c r="B55" s="271"/>
      <c r="C55" s="271"/>
      <c r="E55" s="271"/>
      <c r="J55" s="271"/>
    </row>
    <row r="56" spans="1:24" x14ac:dyDescent="0.3">
      <c r="B56" s="271"/>
      <c r="C56" s="271"/>
      <c r="E56" s="271"/>
      <c r="J56" s="271"/>
    </row>
    <row r="57" spans="1:24" ht="16.5" customHeight="1" x14ac:dyDescent="0.3">
      <c r="B57" s="271"/>
      <c r="C57" s="271"/>
      <c r="E57" s="271"/>
      <c r="J57" s="271"/>
    </row>
    <row r="58" spans="1:24" x14ac:dyDescent="0.3">
      <c r="B58" s="271"/>
      <c r="C58" s="271"/>
      <c r="E58" s="271"/>
      <c r="J58" s="271"/>
    </row>
    <row r="59" spans="1:24" x14ac:dyDescent="0.3">
      <c r="B59" s="271"/>
      <c r="C59" s="271"/>
      <c r="E59" s="271"/>
      <c r="J59" s="271"/>
    </row>
    <row r="60" spans="1:24" x14ac:dyDescent="0.3">
      <c r="B60" s="271"/>
      <c r="C60" s="271"/>
      <c r="E60" s="271"/>
      <c r="J60" s="271"/>
    </row>
    <row r="61" spans="1:24" x14ac:dyDescent="0.3">
      <c r="B61" s="271"/>
      <c r="C61" s="271"/>
      <c r="E61" s="271"/>
      <c r="J61" s="271"/>
    </row>
    <row r="62" spans="1:24" s="185" customFormat="1" ht="17.25" customHeight="1" x14ac:dyDescent="0.3">
      <c r="A62" s="271"/>
      <c r="B62" s="271"/>
      <c r="C62" s="271"/>
      <c r="D62" s="271"/>
      <c r="O62" s="271"/>
      <c r="P62" s="271"/>
      <c r="Q62" s="271"/>
      <c r="R62" s="271"/>
      <c r="S62" s="271"/>
      <c r="T62" s="271"/>
      <c r="U62" s="271"/>
      <c r="V62" s="271"/>
      <c r="W62" s="271"/>
      <c r="X62" s="271"/>
    </row>
    <row r="63" spans="1:24" s="185" customFormat="1" x14ac:dyDescent="0.3">
      <c r="A63" s="271"/>
      <c r="B63" s="10"/>
      <c r="C63" s="274"/>
      <c r="D63" s="58"/>
      <c r="F63" s="271"/>
      <c r="G63" s="271"/>
      <c r="H63" s="271"/>
      <c r="I63" s="271"/>
      <c r="K63" s="271"/>
      <c r="L63" s="271"/>
      <c r="M63" s="271"/>
      <c r="N63" s="271"/>
      <c r="O63" s="271"/>
      <c r="P63" s="271"/>
      <c r="Q63" s="271"/>
      <c r="R63" s="271"/>
      <c r="S63" s="271"/>
      <c r="T63" s="271"/>
      <c r="U63" s="271"/>
      <c r="V63" s="271"/>
      <c r="W63" s="271"/>
      <c r="X63" s="271"/>
    </row>
  </sheetData>
  <mergeCells count="7">
    <mergeCell ref="C19:D29"/>
    <mergeCell ref="L2:N2"/>
    <mergeCell ref="L3:N3"/>
    <mergeCell ref="L4:N4"/>
    <mergeCell ref="L5:N5"/>
    <mergeCell ref="B11:N13"/>
    <mergeCell ref="C16:N1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V63"/>
  <sheetViews>
    <sheetView zoomScale="70" zoomScaleNormal="70" zoomScaleSheetLayoutView="100" workbookViewId="0">
      <selection activeCell="Q20" sqref="Q20"/>
    </sheetView>
  </sheetViews>
  <sheetFormatPr defaultRowHeight="16.5" x14ac:dyDescent="0.3"/>
  <cols>
    <col min="1" max="1" width="3.5" style="52" customWidth="1"/>
    <col min="2" max="2" width="3.125" style="10" customWidth="1"/>
    <col min="3" max="3" width="24.125" style="20" customWidth="1"/>
    <col min="4" max="4" width="47.375" style="52" customWidth="1"/>
    <col min="5" max="5" width="1.625" style="53" customWidth="1"/>
    <col min="6" max="6" width="22.125" style="52" customWidth="1"/>
    <col min="7" max="7" width="17.75" style="52" customWidth="1"/>
    <col min="8" max="8" width="1.625" style="53" customWidth="1"/>
    <col min="9" max="9" width="15" style="52" customWidth="1"/>
    <col min="10" max="11" width="11.25" style="52" customWidth="1"/>
    <col min="12" max="12" width="11" style="52" customWidth="1"/>
    <col min="13" max="17" width="9" style="52"/>
    <col min="18" max="18" width="14.125" style="52" customWidth="1"/>
    <col min="19" max="16384" width="9" style="52"/>
  </cols>
  <sheetData>
    <row r="1" spans="2:12" x14ac:dyDescent="0.3">
      <c r="C1" s="52"/>
      <c r="H1" s="52"/>
    </row>
    <row r="2" spans="2:12" x14ac:dyDescent="0.3">
      <c r="C2" s="26" t="s">
        <v>10</v>
      </c>
      <c r="D2" s="13" t="s">
        <v>15</v>
      </c>
      <c r="E2" s="32"/>
      <c r="H2" s="52"/>
      <c r="I2" s="26" t="s">
        <v>23</v>
      </c>
      <c r="J2" s="427" t="s">
        <v>140</v>
      </c>
      <c r="K2" s="427"/>
      <c r="L2" s="427"/>
    </row>
    <row r="3" spans="2:12" x14ac:dyDescent="0.3">
      <c r="C3" s="26" t="s">
        <v>11</v>
      </c>
      <c r="D3" s="13" t="s">
        <v>248</v>
      </c>
      <c r="H3" s="52"/>
      <c r="J3" s="441" t="s">
        <v>13</v>
      </c>
      <c r="K3" s="441"/>
      <c r="L3" s="441"/>
    </row>
    <row r="4" spans="2:12" ht="17.25" thickBot="1" x14ac:dyDescent="0.35">
      <c r="C4" s="26" t="s">
        <v>22</v>
      </c>
      <c r="D4" s="13" t="s">
        <v>123</v>
      </c>
      <c r="F4" s="20"/>
      <c r="H4" s="52"/>
      <c r="J4" s="442" t="s">
        <v>141</v>
      </c>
      <c r="K4" s="442"/>
      <c r="L4" s="442"/>
    </row>
    <row r="5" spans="2:12" ht="17.25" thickBot="1" x14ac:dyDescent="0.35">
      <c r="C5" s="26"/>
      <c r="D5" s="13"/>
      <c r="H5" s="52"/>
      <c r="J5" s="444" t="s">
        <v>55</v>
      </c>
      <c r="K5" s="445"/>
      <c r="L5" s="446"/>
    </row>
    <row r="6" spans="2:12" s="271" customFormat="1" x14ac:dyDescent="0.3">
      <c r="B6" s="10"/>
      <c r="C6" s="207"/>
      <c r="D6" s="32"/>
      <c r="E6" s="185"/>
      <c r="J6" s="303"/>
      <c r="K6" s="303"/>
      <c r="L6" s="303"/>
    </row>
    <row r="7" spans="2:12" s="271" customFormat="1" x14ac:dyDescent="0.3">
      <c r="B7" s="10"/>
      <c r="C7" s="207" t="s">
        <v>215</v>
      </c>
      <c r="D7" s="359">
        <f>G24</f>
        <v>72000</v>
      </c>
      <c r="E7" s="185"/>
      <c r="J7" s="303"/>
      <c r="K7" s="303"/>
      <c r="L7" s="303"/>
    </row>
    <row r="8" spans="2:12" ht="33" x14ac:dyDescent="0.3">
      <c r="B8" s="38"/>
      <c r="C8" s="73" t="s">
        <v>12</v>
      </c>
      <c r="D8" s="72" t="s">
        <v>107</v>
      </c>
      <c r="E8" s="33"/>
      <c r="F8" s="7"/>
      <c r="G8" s="7"/>
      <c r="H8" s="7"/>
      <c r="I8" s="7"/>
      <c r="J8" s="7"/>
      <c r="K8" s="7"/>
      <c r="L8" s="7"/>
    </row>
    <row r="9" spans="2:12" x14ac:dyDescent="0.3">
      <c r="C9" s="52"/>
      <c r="H9" s="52"/>
    </row>
    <row r="10" spans="2:12" x14ac:dyDescent="0.3">
      <c r="B10" s="27" t="s">
        <v>14</v>
      </c>
      <c r="C10" s="6"/>
      <c r="D10" s="6"/>
      <c r="E10" s="6"/>
      <c r="F10" s="6"/>
      <c r="G10" s="6"/>
      <c r="H10" s="6"/>
      <c r="I10" s="6"/>
      <c r="J10" s="6"/>
      <c r="K10" s="6"/>
      <c r="L10" s="6"/>
    </row>
    <row r="11" spans="2:12" ht="16.5" customHeight="1" x14ac:dyDescent="0.3">
      <c r="B11" s="463" t="s">
        <v>375</v>
      </c>
      <c r="C11" s="463"/>
      <c r="D11" s="463"/>
      <c r="E11" s="463"/>
      <c r="F11" s="463"/>
      <c r="G11" s="463"/>
      <c r="H11" s="463"/>
      <c r="I11" s="463"/>
      <c r="J11" s="463"/>
      <c r="K11" s="463"/>
      <c r="L11" s="463"/>
    </row>
    <row r="12" spans="2:12" s="271" customFormat="1" ht="16.5" customHeight="1" x14ac:dyDescent="0.3">
      <c r="B12" s="463"/>
      <c r="C12" s="463"/>
      <c r="D12" s="463"/>
      <c r="E12" s="463"/>
      <c r="F12" s="463"/>
      <c r="G12" s="463"/>
      <c r="H12" s="463"/>
      <c r="I12" s="463"/>
      <c r="J12" s="463"/>
      <c r="K12" s="463"/>
      <c r="L12" s="463"/>
    </row>
    <row r="13" spans="2:12" ht="16.5" customHeight="1" x14ac:dyDescent="0.3">
      <c r="B13" s="463"/>
      <c r="C13" s="463"/>
      <c r="D13" s="463"/>
      <c r="E13" s="463"/>
      <c r="F13" s="463"/>
      <c r="G13" s="463"/>
      <c r="H13" s="463"/>
      <c r="I13" s="463"/>
      <c r="J13" s="463"/>
      <c r="K13" s="463"/>
      <c r="L13" s="463"/>
    </row>
    <row r="14" spans="2:12" x14ac:dyDescent="0.3">
      <c r="B14" s="101"/>
      <c r="C14" s="101"/>
      <c r="D14" s="101"/>
      <c r="E14" s="101"/>
      <c r="F14" s="101"/>
      <c r="G14" s="101"/>
      <c r="H14" s="101"/>
      <c r="I14" s="101"/>
      <c r="J14" s="101"/>
      <c r="K14" s="101"/>
      <c r="L14" s="101"/>
    </row>
    <row r="15" spans="2:12" x14ac:dyDescent="0.3">
      <c r="B15" s="27" t="s">
        <v>16</v>
      </c>
      <c r="C15" s="6"/>
      <c r="D15" s="6"/>
      <c r="E15" s="6"/>
      <c r="F15" s="6"/>
      <c r="G15" s="6"/>
      <c r="H15" s="6"/>
      <c r="I15" s="6"/>
      <c r="J15" s="6"/>
      <c r="K15" s="6"/>
      <c r="L15" s="6"/>
    </row>
    <row r="16" spans="2:12" x14ac:dyDescent="0.3">
      <c r="B16" s="28">
        <v>1</v>
      </c>
      <c r="C16" s="425" t="s">
        <v>376</v>
      </c>
      <c r="D16" s="443"/>
      <c r="E16" s="443"/>
      <c r="F16" s="443"/>
      <c r="G16" s="443"/>
      <c r="H16" s="443"/>
      <c r="I16" s="443"/>
      <c r="J16" s="443"/>
      <c r="K16" s="443"/>
      <c r="L16" s="443"/>
    </row>
    <row r="17" spans="2:18" x14ac:dyDescent="0.3">
      <c r="C17" s="52"/>
      <c r="H17" s="52"/>
    </row>
    <row r="18" spans="2:18" x14ac:dyDescent="0.3">
      <c r="B18" s="27" t="s">
        <v>26</v>
      </c>
      <c r="C18" s="6"/>
      <c r="D18" s="6"/>
      <c r="F18" s="25" t="s">
        <v>25</v>
      </c>
      <c r="G18" s="6"/>
      <c r="I18" s="25" t="s">
        <v>24</v>
      </c>
      <c r="J18" s="25"/>
      <c r="K18" s="25"/>
      <c r="L18" s="6"/>
    </row>
    <row r="19" spans="2:18" ht="18.75" customHeight="1" x14ac:dyDescent="0.3">
      <c r="B19" s="28">
        <v>1</v>
      </c>
      <c r="C19" s="476" t="s">
        <v>377</v>
      </c>
      <c r="D19" s="476"/>
      <c r="E19" s="79"/>
      <c r="F19" s="471" t="s">
        <v>165</v>
      </c>
      <c r="G19" s="471"/>
      <c r="H19" s="79"/>
      <c r="I19" s="45" t="s">
        <v>29</v>
      </c>
      <c r="J19" s="45" t="s">
        <v>34</v>
      </c>
      <c r="K19" s="45" t="s">
        <v>19</v>
      </c>
      <c r="L19" s="46" t="s">
        <v>31</v>
      </c>
      <c r="M19" s="79"/>
    </row>
    <row r="20" spans="2:18" ht="49.5" x14ac:dyDescent="0.3">
      <c r="B20" s="28"/>
      <c r="C20" s="476"/>
      <c r="D20" s="476"/>
      <c r="E20" s="79"/>
      <c r="F20" s="261" t="s">
        <v>162</v>
      </c>
      <c r="G20" s="79">
        <v>40</v>
      </c>
      <c r="H20" s="79"/>
      <c r="I20" s="200" t="s">
        <v>261</v>
      </c>
      <c r="J20"/>
      <c r="K20"/>
      <c r="L20"/>
      <c r="M20" t="s">
        <v>243</v>
      </c>
      <c r="P20" s="55"/>
      <c r="Q20" s="53"/>
      <c r="R20" s="53"/>
    </row>
    <row r="21" spans="2:18" ht="45" x14ac:dyDescent="0.3">
      <c r="B21" s="28"/>
      <c r="C21" s="476"/>
      <c r="D21" s="476"/>
      <c r="E21" s="79"/>
      <c r="F21" s="104" t="s">
        <v>163</v>
      </c>
      <c r="G21" s="259">
        <v>0.2</v>
      </c>
      <c r="H21" s="79"/>
      <c r="I21"/>
      <c r="J21"/>
      <c r="K21"/>
      <c r="L21"/>
      <c r="M21"/>
      <c r="P21" s="55"/>
      <c r="Q21" s="53"/>
      <c r="R21" s="53"/>
    </row>
    <row r="22" spans="2:18" ht="19.5" customHeight="1" x14ac:dyDescent="0.3">
      <c r="B22" s="28"/>
      <c r="C22" s="476"/>
      <c r="D22" s="476"/>
      <c r="E22" s="104"/>
      <c r="F22" s="104" t="s">
        <v>108</v>
      </c>
      <c r="G22" s="260">
        <v>90000</v>
      </c>
      <c r="H22" s="79"/>
      <c r="I22"/>
      <c r="J22"/>
      <c r="K22"/>
      <c r="L22"/>
      <c r="M22"/>
      <c r="P22" s="55"/>
      <c r="Q22" s="53"/>
      <c r="R22" s="53"/>
    </row>
    <row r="23" spans="2:18" ht="18.75" customHeight="1" thickBot="1" x14ac:dyDescent="0.35">
      <c r="B23" s="28"/>
      <c r="C23" s="476"/>
      <c r="D23" s="476"/>
      <c r="E23" s="104"/>
      <c r="F23" s="52" t="s">
        <v>45</v>
      </c>
      <c r="G23" s="201">
        <v>0.1</v>
      </c>
      <c r="H23" s="79"/>
      <c r="I23"/>
      <c r="J23"/>
      <c r="K23"/>
      <c r="L23"/>
      <c r="M23"/>
      <c r="P23" s="55"/>
      <c r="Q23" s="53"/>
      <c r="R23" s="53"/>
    </row>
    <row r="24" spans="2:18" ht="17.25" thickBot="1" x14ac:dyDescent="0.35">
      <c r="B24" s="253"/>
      <c r="C24" s="476"/>
      <c r="D24" s="476"/>
      <c r="E24" s="79"/>
      <c r="F24" t="s">
        <v>164</v>
      </c>
      <c r="G24" s="262">
        <f>G20*G21*G22*G23</f>
        <v>72000</v>
      </c>
      <c r="H24" s="79"/>
      <c r="I24"/>
      <c r="J24"/>
      <c r="K24"/>
      <c r="L24"/>
      <c r="M24"/>
      <c r="P24" s="55"/>
      <c r="Q24" s="53"/>
      <c r="R24" s="53"/>
    </row>
    <row r="25" spans="2:18" customFormat="1" ht="23.25" customHeight="1" x14ac:dyDescent="0.3">
      <c r="B25" s="254"/>
      <c r="C25" s="476"/>
      <c r="D25" s="476"/>
    </row>
    <row r="26" spans="2:18" customFormat="1" x14ac:dyDescent="0.3">
      <c r="B26" s="254"/>
      <c r="C26" s="476"/>
      <c r="D26" s="476"/>
    </row>
    <row r="27" spans="2:18" customFormat="1" x14ac:dyDescent="0.3">
      <c r="B27" s="254"/>
      <c r="C27" s="476"/>
      <c r="D27" s="476"/>
    </row>
    <row r="28" spans="2:18" customFormat="1" x14ac:dyDescent="0.3">
      <c r="B28" s="254"/>
      <c r="C28" s="476"/>
      <c r="D28" s="476"/>
    </row>
    <row r="29" spans="2:18" customFormat="1" x14ac:dyDescent="0.3"/>
    <row r="30" spans="2:18" customFormat="1" x14ac:dyDescent="0.3"/>
    <row r="31" spans="2:18" customFormat="1" x14ac:dyDescent="0.3"/>
    <row r="32" spans="2:18" customFormat="1" x14ac:dyDescent="0.3"/>
    <row r="33" customFormat="1" x14ac:dyDescent="0.3"/>
    <row r="34" customFormat="1" x14ac:dyDescent="0.3"/>
    <row r="35" customFormat="1" x14ac:dyDescent="0.3"/>
    <row r="36" customFormat="1" x14ac:dyDescent="0.3"/>
    <row r="37" customFormat="1" ht="16.5" customHeight="1" x14ac:dyDescent="0.3"/>
    <row r="38" customFormat="1" x14ac:dyDescent="0.3"/>
    <row r="39" customFormat="1" x14ac:dyDescent="0.3"/>
    <row r="40" customFormat="1" x14ac:dyDescent="0.3"/>
    <row r="41" customFormat="1" x14ac:dyDescent="0.3"/>
    <row r="42" customFormat="1" x14ac:dyDescent="0.3"/>
    <row r="43" customFormat="1" x14ac:dyDescent="0.3"/>
    <row r="44" customFormat="1" ht="75" customHeight="1" x14ac:dyDescent="0.3"/>
    <row r="45" customFormat="1" x14ac:dyDescent="0.3"/>
    <row r="46" customFormat="1" x14ac:dyDescent="0.3"/>
    <row r="47" customFormat="1" ht="89.25" customHeight="1" x14ac:dyDescent="0.3"/>
    <row r="48" customFormat="1" ht="17.25" customHeight="1" x14ac:dyDescent="0.3"/>
    <row r="49" spans="1:22" customFormat="1" ht="16.5" customHeight="1" x14ac:dyDescent="0.3"/>
    <row r="50" spans="1:22" customFormat="1" ht="34.5" customHeight="1" x14ac:dyDescent="0.3"/>
    <row r="51" spans="1:22" customFormat="1" x14ac:dyDescent="0.3"/>
    <row r="52" spans="1:22" customFormat="1" x14ac:dyDescent="0.3"/>
    <row r="53" spans="1:22" customFormat="1" ht="32.25" customHeight="1" x14ac:dyDescent="0.3"/>
    <row r="54" spans="1:22" customFormat="1" x14ac:dyDescent="0.3"/>
    <row r="55" spans="1:22" customFormat="1" x14ac:dyDescent="0.3"/>
    <row r="56" spans="1:22" customFormat="1" x14ac:dyDescent="0.3"/>
    <row r="57" spans="1:22" customFormat="1" ht="16.5" customHeight="1" x14ac:dyDescent="0.3"/>
    <row r="58" spans="1:22" customFormat="1" x14ac:dyDescent="0.3"/>
    <row r="59" spans="1:22" x14ac:dyDescent="0.3">
      <c r="B59" s="52"/>
      <c r="C59" s="52"/>
      <c r="F59" s="53"/>
      <c r="G59" s="53"/>
      <c r="I59" s="53"/>
      <c r="J59" s="53"/>
      <c r="K59" s="53"/>
      <c r="L59" s="53"/>
    </row>
    <row r="60" spans="1:22" x14ac:dyDescent="0.3">
      <c r="B60" s="52"/>
      <c r="C60" s="52"/>
      <c r="F60" s="53"/>
      <c r="G60" s="53"/>
      <c r="I60" s="53"/>
      <c r="J60" s="53"/>
      <c r="K60" s="53"/>
      <c r="L60" s="53"/>
    </row>
    <row r="61" spans="1:22" x14ac:dyDescent="0.3">
      <c r="B61" s="52"/>
      <c r="C61" s="52"/>
      <c r="F61" s="53"/>
      <c r="G61" s="53"/>
      <c r="I61" s="53"/>
      <c r="J61" s="53"/>
      <c r="K61" s="53"/>
      <c r="L61" s="53"/>
    </row>
    <row r="62" spans="1:22" s="53" customFormat="1" ht="17.25" customHeight="1" x14ac:dyDescent="0.3">
      <c r="A62" s="52"/>
      <c r="B62" s="52"/>
      <c r="C62" s="52"/>
      <c r="D62" s="52"/>
      <c r="M62" s="52"/>
      <c r="N62" s="52"/>
      <c r="O62" s="52"/>
      <c r="P62" s="52"/>
      <c r="Q62" s="52"/>
      <c r="R62" s="52"/>
      <c r="S62" s="52"/>
      <c r="T62" s="52"/>
      <c r="U62" s="52"/>
      <c r="V62" s="52"/>
    </row>
    <row r="63" spans="1:22" s="53" customFormat="1" x14ac:dyDescent="0.3">
      <c r="A63" s="52"/>
      <c r="B63" s="10"/>
      <c r="C63" s="20"/>
      <c r="D63" s="58"/>
      <c r="F63" s="52"/>
      <c r="G63" s="52"/>
      <c r="I63" s="52"/>
      <c r="J63" s="52"/>
      <c r="K63" s="52"/>
      <c r="L63" s="52"/>
      <c r="M63" s="52"/>
      <c r="N63" s="52"/>
      <c r="O63" s="52"/>
      <c r="P63" s="52"/>
      <c r="Q63" s="52"/>
      <c r="R63" s="52"/>
      <c r="S63" s="52"/>
      <c r="T63" s="52"/>
      <c r="U63" s="52"/>
      <c r="V63" s="52"/>
    </row>
  </sheetData>
  <mergeCells count="8">
    <mergeCell ref="F19:G19"/>
    <mergeCell ref="C19:D28"/>
    <mergeCell ref="J2:L2"/>
    <mergeCell ref="J3:L3"/>
    <mergeCell ref="J4:L4"/>
    <mergeCell ref="B11:L13"/>
    <mergeCell ref="C16:L16"/>
    <mergeCell ref="J5:L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X88"/>
  <sheetViews>
    <sheetView topLeftCell="A16" zoomScale="80" zoomScaleNormal="80" zoomScaleSheetLayoutView="100" workbookViewId="0">
      <selection activeCell="G6" sqref="G6"/>
    </sheetView>
  </sheetViews>
  <sheetFormatPr defaultRowHeight="16.5" x14ac:dyDescent="0.3"/>
  <cols>
    <col min="1" max="1" width="3.5" style="271" customWidth="1"/>
    <col min="2" max="2" width="3.125" style="10" customWidth="1"/>
    <col min="3" max="3" width="24.125" style="274" customWidth="1"/>
    <col min="4" max="4" width="43.25" style="271" customWidth="1"/>
    <col min="5" max="5" width="1.625" style="185" customWidth="1"/>
    <col min="6" max="6" width="22.125" style="271" customWidth="1"/>
    <col min="7" max="8" width="17.75" style="271" customWidth="1"/>
    <col min="9" max="9" width="18" style="271" customWidth="1"/>
    <col min="10" max="10" width="1.625" style="185" customWidth="1"/>
    <col min="11" max="13" width="11.25" style="271" customWidth="1"/>
    <col min="14" max="14" width="11" style="271" customWidth="1"/>
    <col min="15" max="19" width="9" style="271"/>
    <col min="20" max="20" width="14.125" style="271" customWidth="1"/>
    <col min="21" max="16384" width="9" style="271"/>
  </cols>
  <sheetData>
    <row r="1" spans="2:14" x14ac:dyDescent="0.3">
      <c r="C1" s="271"/>
      <c r="J1" s="271"/>
    </row>
    <row r="2" spans="2:14" x14ac:dyDescent="0.3">
      <c r="C2" s="207" t="s">
        <v>10</v>
      </c>
      <c r="D2" s="13" t="s">
        <v>15</v>
      </c>
      <c r="E2" s="32"/>
      <c r="J2" s="271"/>
      <c r="K2" s="207" t="s">
        <v>23</v>
      </c>
      <c r="L2" s="427" t="s">
        <v>140</v>
      </c>
      <c r="M2" s="427"/>
      <c r="N2" s="427"/>
    </row>
    <row r="3" spans="2:14" x14ac:dyDescent="0.3">
      <c r="C3" s="207" t="s">
        <v>11</v>
      </c>
      <c r="D3" s="13" t="s">
        <v>248</v>
      </c>
      <c r="J3" s="271"/>
      <c r="L3" s="441" t="s">
        <v>13</v>
      </c>
      <c r="M3" s="441"/>
      <c r="N3" s="441"/>
    </row>
    <row r="4" spans="2:14" ht="17.25" thickBot="1" x14ac:dyDescent="0.35">
      <c r="C4" s="207" t="s">
        <v>22</v>
      </c>
      <c r="D4" s="13" t="s">
        <v>72</v>
      </c>
      <c r="F4" s="274"/>
      <c r="J4" s="271"/>
      <c r="L4" s="442" t="s">
        <v>141</v>
      </c>
      <c r="M4" s="442"/>
      <c r="N4" s="442"/>
    </row>
    <row r="5" spans="2:14" ht="17.25" thickBot="1" x14ac:dyDescent="0.35">
      <c r="C5" s="207"/>
      <c r="D5" s="13"/>
      <c r="J5" s="271"/>
      <c r="L5" s="444" t="s">
        <v>55</v>
      </c>
      <c r="M5" s="445"/>
      <c r="N5" s="446"/>
    </row>
    <row r="6" spans="2:14" x14ac:dyDescent="0.3">
      <c r="C6" s="207"/>
      <c r="D6" s="13"/>
      <c r="J6" s="271"/>
      <c r="L6" s="303"/>
      <c r="M6" s="303"/>
      <c r="N6" s="303"/>
    </row>
    <row r="7" spans="2:14" x14ac:dyDescent="0.3">
      <c r="C7" s="207" t="s">
        <v>266</v>
      </c>
      <c r="D7" s="404">
        <f>I70</f>
        <v>36630.530469685793</v>
      </c>
      <c r="J7" s="271"/>
      <c r="L7" s="303"/>
      <c r="M7" s="303"/>
      <c r="N7" s="303"/>
    </row>
    <row r="8" spans="2:14" ht="49.5" x14ac:dyDescent="0.3">
      <c r="B8" s="38"/>
      <c r="C8" s="382" t="s">
        <v>12</v>
      </c>
      <c r="D8" s="72" t="s">
        <v>121</v>
      </c>
      <c r="E8" s="33"/>
      <c r="F8" s="7"/>
      <c r="G8" s="7"/>
      <c r="H8" s="7"/>
      <c r="I8" s="7"/>
      <c r="J8" s="7"/>
      <c r="K8" s="7"/>
      <c r="L8" s="7"/>
      <c r="M8" s="7"/>
      <c r="N8" s="7"/>
    </row>
    <row r="9" spans="2:14" x14ac:dyDescent="0.3">
      <c r="C9" s="271"/>
      <c r="J9" s="271"/>
    </row>
    <row r="10" spans="2:14" x14ac:dyDescent="0.3">
      <c r="B10" s="27" t="s">
        <v>14</v>
      </c>
      <c r="C10" s="202"/>
      <c r="D10" s="202"/>
      <c r="E10" s="202"/>
      <c r="F10" s="202"/>
      <c r="G10" s="202"/>
      <c r="H10" s="202"/>
      <c r="I10" s="202"/>
      <c r="J10" s="202"/>
      <c r="K10" s="202"/>
      <c r="L10" s="202"/>
      <c r="M10" s="202"/>
      <c r="N10" s="202"/>
    </row>
    <row r="11" spans="2:14" ht="16.5" customHeight="1" x14ac:dyDescent="0.3">
      <c r="B11" s="463" t="s">
        <v>314</v>
      </c>
      <c r="C11" s="463"/>
      <c r="D11" s="463"/>
      <c r="E11" s="463"/>
      <c r="F11" s="463"/>
      <c r="G11" s="463"/>
      <c r="H11" s="463"/>
      <c r="I11" s="463"/>
      <c r="J11" s="463"/>
      <c r="K11" s="463"/>
      <c r="L11" s="463"/>
      <c r="M11" s="463"/>
      <c r="N11" s="463"/>
    </row>
    <row r="12" spans="2:14" ht="16.5" customHeight="1" x14ac:dyDescent="0.3">
      <c r="B12" s="463"/>
      <c r="C12" s="463"/>
      <c r="D12" s="463"/>
      <c r="E12" s="463"/>
      <c r="F12" s="463"/>
      <c r="G12" s="463"/>
      <c r="H12" s="463"/>
      <c r="I12" s="463"/>
      <c r="J12" s="463"/>
      <c r="K12" s="463"/>
      <c r="L12" s="463"/>
      <c r="M12" s="463"/>
      <c r="N12" s="463"/>
    </row>
    <row r="13" spans="2:14" ht="16.5" customHeight="1" x14ac:dyDescent="0.3">
      <c r="B13" s="463"/>
      <c r="C13" s="463"/>
      <c r="D13" s="463"/>
      <c r="E13" s="463"/>
      <c r="F13" s="463"/>
      <c r="G13" s="463"/>
      <c r="H13" s="463"/>
      <c r="I13" s="463"/>
      <c r="J13" s="463"/>
      <c r="K13" s="463"/>
      <c r="L13" s="463"/>
      <c r="M13" s="463"/>
      <c r="N13" s="463"/>
    </row>
    <row r="14" spans="2:14" ht="16.5" customHeight="1" x14ac:dyDescent="0.3">
      <c r="B14" s="463"/>
      <c r="C14" s="463"/>
      <c r="D14" s="463"/>
      <c r="E14" s="463"/>
      <c r="F14" s="463"/>
      <c r="G14" s="463"/>
      <c r="H14" s="463"/>
      <c r="I14" s="463"/>
      <c r="J14" s="463"/>
      <c r="K14" s="463"/>
      <c r="L14" s="463"/>
      <c r="M14" s="463"/>
      <c r="N14" s="463"/>
    </row>
    <row r="15" spans="2:14" x14ac:dyDescent="0.3">
      <c r="B15" s="463"/>
      <c r="C15" s="463"/>
      <c r="D15" s="463"/>
      <c r="E15" s="463"/>
      <c r="F15" s="463"/>
      <c r="G15" s="463"/>
      <c r="H15" s="463"/>
      <c r="I15" s="463"/>
      <c r="J15" s="463"/>
      <c r="K15" s="463"/>
      <c r="L15" s="463"/>
      <c r="M15" s="463"/>
      <c r="N15" s="463"/>
    </row>
    <row r="16" spans="2:14" x14ac:dyDescent="0.3">
      <c r="B16" s="377"/>
      <c r="C16" s="377"/>
      <c r="D16" s="377"/>
      <c r="E16" s="377"/>
      <c r="F16" s="377"/>
      <c r="G16" s="377"/>
      <c r="H16" s="377"/>
      <c r="I16" s="377"/>
      <c r="J16" s="377"/>
      <c r="K16" s="377"/>
      <c r="L16" s="377"/>
      <c r="M16" s="377"/>
      <c r="N16" s="377"/>
    </row>
    <row r="17" spans="2:20" x14ac:dyDescent="0.3">
      <c r="B17" s="27" t="s">
        <v>16</v>
      </c>
      <c r="C17" s="202"/>
      <c r="D17" s="202"/>
      <c r="E17" s="202"/>
      <c r="F17" s="202"/>
      <c r="G17" s="202"/>
      <c r="H17" s="202"/>
      <c r="I17" s="202"/>
      <c r="J17" s="202"/>
      <c r="K17" s="202"/>
      <c r="L17" s="202"/>
      <c r="M17" s="202"/>
      <c r="N17" s="202"/>
    </row>
    <row r="18" spans="2:20" ht="38.25" customHeight="1" x14ac:dyDescent="0.3">
      <c r="B18" s="381">
        <v>1</v>
      </c>
      <c r="C18" s="425" t="s">
        <v>337</v>
      </c>
      <c r="D18" s="425"/>
      <c r="E18" s="425"/>
      <c r="F18" s="425"/>
      <c r="G18" s="425"/>
      <c r="H18" s="425"/>
      <c r="I18" s="425"/>
      <c r="J18" s="425"/>
      <c r="K18" s="425"/>
      <c r="L18" s="425"/>
      <c r="M18" s="425"/>
      <c r="N18" s="425"/>
    </row>
    <row r="19" spans="2:20" x14ac:dyDescent="0.3">
      <c r="C19" s="271"/>
      <c r="J19" s="271"/>
    </row>
    <row r="20" spans="2:20" x14ac:dyDescent="0.3">
      <c r="B20" s="27" t="s">
        <v>26</v>
      </c>
      <c r="C20" s="202"/>
      <c r="D20" s="202"/>
      <c r="F20" s="380" t="s">
        <v>25</v>
      </c>
      <c r="G20" s="202"/>
      <c r="H20" s="202"/>
      <c r="I20" s="202"/>
      <c r="K20" s="380" t="s">
        <v>24</v>
      </c>
      <c r="L20" s="380"/>
      <c r="M20" s="380"/>
      <c r="N20" s="202"/>
    </row>
    <row r="21" spans="2:20" ht="49.5" x14ac:dyDescent="0.3">
      <c r="B21" s="381">
        <v>1</v>
      </c>
      <c r="C21" s="460" t="s">
        <v>323</v>
      </c>
      <c r="D21" s="460"/>
      <c r="F21" s="63" t="s">
        <v>267</v>
      </c>
      <c r="G21" s="211"/>
      <c r="H21" s="211"/>
      <c r="I21" s="211"/>
      <c r="J21" s="379"/>
      <c r="K21" s="45" t="s">
        <v>29</v>
      </c>
      <c r="L21" s="45" t="s">
        <v>34</v>
      </c>
      <c r="M21" s="45" t="s">
        <v>19</v>
      </c>
      <c r="N21" s="46" t="s">
        <v>31</v>
      </c>
      <c r="O21" s="185"/>
      <c r="P21" s="185"/>
    </row>
    <row r="22" spans="2:20" x14ac:dyDescent="0.3">
      <c r="B22" s="381"/>
      <c r="C22" s="460"/>
      <c r="D22" s="460"/>
      <c r="E22" s="47"/>
      <c r="F22" s="379">
        <f>1.6%/10</f>
        <v>1.6000000000000001E-3</v>
      </c>
      <c r="G22" s="379"/>
      <c r="H22" s="379"/>
      <c r="I22" s="379"/>
      <c r="J22" s="379"/>
      <c r="K22" s="47" t="s">
        <v>70</v>
      </c>
      <c r="L22" s="271" t="s">
        <v>268</v>
      </c>
      <c r="M22" s="69" t="s">
        <v>269</v>
      </c>
      <c r="N22" s="218">
        <v>42037</v>
      </c>
      <c r="O22" s="185"/>
      <c r="P22" s="185"/>
      <c r="R22" s="186"/>
      <c r="S22" s="185"/>
      <c r="T22" s="185"/>
    </row>
    <row r="23" spans="2:20" x14ac:dyDescent="0.3">
      <c r="B23" s="381"/>
      <c r="C23" s="460"/>
      <c r="D23" s="460"/>
      <c r="E23" s="47"/>
      <c r="O23" s="185"/>
      <c r="P23" s="185"/>
      <c r="R23" s="186"/>
      <c r="S23" s="185"/>
      <c r="T23" s="185"/>
    </row>
    <row r="24" spans="2:20" x14ac:dyDescent="0.3">
      <c r="B24" s="381"/>
      <c r="C24" s="460"/>
      <c r="D24" s="460"/>
      <c r="E24" s="47"/>
      <c r="F24" s="63" t="s">
        <v>315</v>
      </c>
      <c r="G24" s="211"/>
      <c r="H24" s="211"/>
      <c r="I24" s="211"/>
      <c r="J24" s="379"/>
      <c r="K24" s="379"/>
      <c r="L24" s="379"/>
      <c r="M24" s="379"/>
      <c r="N24" s="379"/>
      <c r="O24" s="185"/>
      <c r="P24" s="185"/>
      <c r="R24" s="186"/>
      <c r="S24" s="185"/>
      <c r="T24" s="185"/>
    </row>
    <row r="25" spans="2:20" x14ac:dyDescent="0.3">
      <c r="B25" s="381"/>
      <c r="C25" s="460"/>
      <c r="D25" s="460"/>
      <c r="E25" s="47"/>
      <c r="F25" s="277">
        <v>20000000</v>
      </c>
      <c r="G25" s="379"/>
      <c r="H25" s="379"/>
      <c r="I25" s="379"/>
      <c r="J25" s="379"/>
      <c r="K25" s="379" t="s">
        <v>329</v>
      </c>
      <c r="L25" s="379"/>
      <c r="M25" s="379"/>
      <c r="N25" s="218"/>
      <c r="O25" s="185"/>
      <c r="P25" s="185"/>
      <c r="R25" s="186"/>
      <c r="S25" s="185"/>
      <c r="T25" s="185"/>
    </row>
    <row r="26" spans="2:20" x14ac:dyDescent="0.3">
      <c r="B26" s="381"/>
      <c r="C26" s="460"/>
      <c r="D26" s="460"/>
      <c r="E26" s="47"/>
      <c r="O26" s="185"/>
      <c r="P26" s="185"/>
      <c r="R26" s="186"/>
      <c r="S26" s="185"/>
      <c r="T26" s="185"/>
    </row>
    <row r="27" spans="2:20" ht="66" x14ac:dyDescent="0.3">
      <c r="B27" s="381"/>
      <c r="C27" s="460"/>
      <c r="D27" s="460"/>
      <c r="E27" s="47"/>
      <c r="F27" s="369" t="s">
        <v>270</v>
      </c>
      <c r="G27" s="369" t="s">
        <v>316</v>
      </c>
      <c r="H27" s="369" t="s">
        <v>317</v>
      </c>
      <c r="I27" s="369" t="s">
        <v>318</v>
      </c>
      <c r="O27" s="185"/>
      <c r="P27" s="185"/>
      <c r="R27" s="186"/>
      <c r="S27" s="185"/>
      <c r="T27" s="185"/>
    </row>
    <row r="28" spans="2:20" x14ac:dyDescent="0.3">
      <c r="B28" s="381"/>
      <c r="C28" s="460"/>
      <c r="D28" s="460"/>
      <c r="E28" s="47"/>
      <c r="F28" s="383" t="s">
        <v>271</v>
      </c>
      <c r="G28" s="68">
        <f>G36/I36</f>
        <v>0</v>
      </c>
      <c r="H28" s="68">
        <f>1-G28</f>
        <v>1</v>
      </c>
      <c r="I28" s="384">
        <f>SUMSQ(G28:H28)</f>
        <v>1</v>
      </c>
      <c r="J28" s="32"/>
      <c r="K28" s="32" t="s">
        <v>272</v>
      </c>
      <c r="L28" s="32" t="s">
        <v>330</v>
      </c>
      <c r="M28" s="69" t="s">
        <v>331</v>
      </c>
      <c r="N28" s="70">
        <v>43118</v>
      </c>
      <c r="O28" s="185"/>
      <c r="P28" s="185"/>
      <c r="R28" s="186"/>
      <c r="S28" s="185"/>
      <c r="T28" s="185"/>
    </row>
    <row r="29" spans="2:20" x14ac:dyDescent="0.3">
      <c r="B29" s="381"/>
      <c r="C29" s="460"/>
      <c r="D29" s="460"/>
      <c r="E29" s="47"/>
      <c r="F29" s="13" t="s">
        <v>273</v>
      </c>
      <c r="G29" s="68">
        <f>G37/I37</f>
        <v>0.44444444444444442</v>
      </c>
      <c r="H29" s="68">
        <f t="shared" ref="H29:H31" si="0">1-G29</f>
        <v>0.55555555555555558</v>
      </c>
      <c r="I29" s="384">
        <f t="shared" ref="I29:I31" si="1">SUMSQ(G29:H29)</f>
        <v>0.50617283950617287</v>
      </c>
      <c r="J29" s="32"/>
      <c r="O29" s="185"/>
      <c r="P29" s="185"/>
      <c r="R29" s="186"/>
      <c r="S29" s="185"/>
      <c r="T29" s="185"/>
    </row>
    <row r="30" spans="2:20" x14ac:dyDescent="0.3">
      <c r="B30" s="381"/>
      <c r="C30" s="460"/>
      <c r="D30" s="460"/>
      <c r="E30" s="47"/>
      <c r="F30" s="383" t="s">
        <v>274</v>
      </c>
      <c r="G30" s="68">
        <f>G38/I38</f>
        <v>0.54545454545454541</v>
      </c>
      <c r="H30" s="68">
        <f t="shared" si="0"/>
        <v>0.45454545454545459</v>
      </c>
      <c r="I30" s="384">
        <f t="shared" si="1"/>
        <v>0.50413223140495866</v>
      </c>
      <c r="J30" s="32"/>
      <c r="K30" s="32"/>
      <c r="L30" s="32"/>
      <c r="M30" s="32"/>
      <c r="N30" s="32"/>
      <c r="O30" s="185"/>
      <c r="P30" s="185"/>
      <c r="R30" s="186"/>
      <c r="S30" s="185"/>
      <c r="T30" s="185"/>
    </row>
    <row r="31" spans="2:20" ht="17.25" thickBot="1" x14ac:dyDescent="0.35">
      <c r="B31" s="381"/>
      <c r="C31" s="460"/>
      <c r="D31" s="460"/>
      <c r="E31" s="47"/>
      <c r="F31" s="385" t="s">
        <v>275</v>
      </c>
      <c r="G31" s="386">
        <f>G39/I39</f>
        <v>0.53703703703703709</v>
      </c>
      <c r="H31" s="386">
        <f t="shared" si="0"/>
        <v>0.46296296296296291</v>
      </c>
      <c r="I31" s="387">
        <f t="shared" si="1"/>
        <v>0.50274348422496573</v>
      </c>
      <c r="J31" s="32"/>
      <c r="K31" s="32"/>
      <c r="L31" s="32"/>
      <c r="M31" s="32"/>
      <c r="N31" s="32"/>
      <c r="O31" s="185"/>
      <c r="P31" s="185"/>
      <c r="R31" s="186"/>
      <c r="S31" s="185"/>
      <c r="T31" s="185"/>
    </row>
    <row r="32" spans="2:20" ht="17.25" thickTop="1" x14ac:dyDescent="0.3">
      <c r="B32" s="381"/>
      <c r="C32" s="460"/>
      <c r="D32" s="460"/>
      <c r="E32" s="47"/>
      <c r="F32" s="68" t="s">
        <v>57</v>
      </c>
      <c r="G32" s="68">
        <f>SUMPRODUCT(G28:G31,I36:I39)/SUM(I36:I39)</f>
        <v>0.52</v>
      </c>
      <c r="H32" s="68">
        <f>1-G32</f>
        <v>0.48</v>
      </c>
      <c r="I32" s="388">
        <f>SUMSQ(G32:H32)</f>
        <v>0.50080000000000002</v>
      </c>
      <c r="J32" s="32"/>
      <c r="K32" s="32"/>
      <c r="L32" s="32"/>
      <c r="M32" s="32"/>
      <c r="N32" s="32"/>
      <c r="O32" s="185"/>
      <c r="P32" s="185"/>
      <c r="R32" s="186"/>
      <c r="S32" s="185"/>
      <c r="T32" s="185"/>
    </row>
    <row r="33" spans="2:20" x14ac:dyDescent="0.3">
      <c r="B33" s="381"/>
      <c r="C33" s="460"/>
      <c r="D33" s="460"/>
      <c r="E33" s="47"/>
      <c r="F33" s="383"/>
      <c r="G33" s="68"/>
      <c r="H33" s="68"/>
      <c r="I33" s="68"/>
      <c r="J33" s="32"/>
      <c r="K33" s="32"/>
      <c r="L33" s="32"/>
      <c r="M33" s="32"/>
      <c r="N33" s="32"/>
      <c r="O33" s="185"/>
      <c r="P33" s="185"/>
      <c r="R33" s="186"/>
      <c r="S33" s="185"/>
      <c r="T33" s="185"/>
    </row>
    <row r="34" spans="2:20" x14ac:dyDescent="0.3">
      <c r="B34" s="381"/>
      <c r="C34" s="460"/>
      <c r="D34" s="460"/>
      <c r="E34" s="47"/>
      <c r="F34" s="312" t="s">
        <v>276</v>
      </c>
      <c r="G34" s="312"/>
      <c r="H34" s="312"/>
      <c r="I34" s="312"/>
      <c r="J34" s="32"/>
      <c r="K34" s="32"/>
      <c r="L34" s="32"/>
      <c r="M34" s="32"/>
      <c r="N34" s="32"/>
      <c r="O34" s="185"/>
      <c r="P34" s="185"/>
      <c r="R34" s="186"/>
      <c r="S34" s="185"/>
      <c r="T34" s="185"/>
    </row>
    <row r="35" spans="2:20" ht="66" x14ac:dyDescent="0.3">
      <c r="B35" s="381"/>
      <c r="C35" s="460"/>
      <c r="D35" s="460"/>
      <c r="E35" s="47"/>
      <c r="F35" s="369" t="s">
        <v>270</v>
      </c>
      <c r="G35" s="369" t="s">
        <v>319</v>
      </c>
      <c r="H35" s="369" t="s">
        <v>320</v>
      </c>
      <c r="I35" s="369" t="s">
        <v>321</v>
      </c>
      <c r="J35" s="32"/>
      <c r="K35" s="32"/>
      <c r="L35" s="32"/>
      <c r="M35" s="32"/>
      <c r="N35" s="32"/>
      <c r="R35" s="186"/>
      <c r="S35" s="185"/>
      <c r="T35" s="185"/>
    </row>
    <row r="36" spans="2:20" x14ac:dyDescent="0.3">
      <c r="C36" s="61"/>
      <c r="D36" s="61"/>
      <c r="E36" s="47"/>
      <c r="F36" s="383" t="s">
        <v>271</v>
      </c>
      <c r="G36" s="389">
        <v>0</v>
      </c>
      <c r="H36" s="389">
        <v>1</v>
      </c>
      <c r="I36" s="389">
        <f>SUM(G36:H36)</f>
        <v>1</v>
      </c>
      <c r="J36" s="379"/>
      <c r="K36" s="379"/>
      <c r="L36" s="32"/>
      <c r="M36" s="379"/>
      <c r="N36" s="379"/>
      <c r="O36" s="185"/>
      <c r="P36" s="185"/>
      <c r="R36" s="186"/>
      <c r="S36" s="185"/>
      <c r="T36" s="185"/>
    </row>
    <row r="37" spans="2:20" ht="19.5" customHeight="1" x14ac:dyDescent="0.3">
      <c r="B37" s="381">
        <v>2</v>
      </c>
      <c r="C37" s="460" t="s">
        <v>324</v>
      </c>
      <c r="D37" s="460"/>
      <c r="E37" s="47"/>
      <c r="F37" s="13" t="s">
        <v>273</v>
      </c>
      <c r="G37" s="389">
        <v>4</v>
      </c>
      <c r="H37" s="389">
        <v>5</v>
      </c>
      <c r="I37" s="389">
        <f t="shared" ref="I37:I39" si="2">SUM(G37:H37)</f>
        <v>9</v>
      </c>
      <c r="J37" s="379"/>
      <c r="K37" s="379"/>
      <c r="L37" s="32"/>
      <c r="M37" s="379"/>
      <c r="N37" s="379"/>
      <c r="O37" s="185"/>
      <c r="P37" s="185"/>
      <c r="R37" s="186"/>
      <c r="S37" s="185"/>
      <c r="T37" s="185"/>
    </row>
    <row r="38" spans="2:20" x14ac:dyDescent="0.3">
      <c r="B38" s="381"/>
      <c r="C38" s="460"/>
      <c r="D38" s="460"/>
      <c r="E38" s="47"/>
      <c r="F38" s="383" t="s">
        <v>274</v>
      </c>
      <c r="G38" s="389">
        <v>6</v>
      </c>
      <c r="H38" s="389">
        <v>5</v>
      </c>
      <c r="I38" s="389">
        <f t="shared" si="2"/>
        <v>11</v>
      </c>
      <c r="J38" s="68"/>
      <c r="K38" s="68"/>
      <c r="L38" s="32"/>
      <c r="M38" s="379"/>
      <c r="N38" s="379"/>
      <c r="O38" s="185"/>
      <c r="P38" s="185"/>
      <c r="R38" s="186"/>
      <c r="S38" s="185"/>
      <c r="T38" s="185"/>
    </row>
    <row r="39" spans="2:20" x14ac:dyDescent="0.3">
      <c r="B39" s="381"/>
      <c r="C39" s="460"/>
      <c r="D39" s="460"/>
      <c r="E39" s="47"/>
      <c r="F39" s="383" t="s">
        <v>275</v>
      </c>
      <c r="G39" s="389">
        <v>29</v>
      </c>
      <c r="H39" s="389">
        <v>25</v>
      </c>
      <c r="I39" s="389">
        <f t="shared" si="2"/>
        <v>54</v>
      </c>
      <c r="J39" s="68"/>
      <c r="K39" s="68"/>
      <c r="L39" s="32"/>
      <c r="M39" s="379"/>
      <c r="N39" s="379"/>
      <c r="O39" s="185"/>
      <c r="P39" s="185"/>
      <c r="R39" s="186"/>
      <c r="S39" s="185"/>
      <c r="T39" s="185"/>
    </row>
    <row r="40" spans="2:20" x14ac:dyDescent="0.3">
      <c r="B40" s="381"/>
      <c r="C40" s="460"/>
      <c r="D40" s="460"/>
      <c r="E40" s="47"/>
      <c r="J40" s="68"/>
      <c r="K40" s="68"/>
      <c r="L40" s="32"/>
      <c r="M40" s="379"/>
      <c r="N40" s="379"/>
      <c r="O40" s="185"/>
      <c r="P40" s="185"/>
      <c r="R40" s="186"/>
      <c r="S40" s="185"/>
      <c r="T40" s="185"/>
    </row>
    <row r="41" spans="2:20" ht="16.5" customHeight="1" x14ac:dyDescent="0.3">
      <c r="B41" s="381"/>
      <c r="C41" s="460"/>
      <c r="D41" s="460"/>
      <c r="E41" s="47"/>
      <c r="J41" s="379"/>
      <c r="K41" s="379"/>
      <c r="L41" s="379"/>
      <c r="M41" s="379"/>
      <c r="N41" s="379"/>
      <c r="O41" s="185"/>
      <c r="P41" s="185"/>
      <c r="R41" s="186"/>
      <c r="S41" s="185"/>
      <c r="T41" s="185"/>
    </row>
    <row r="42" spans="2:20" x14ac:dyDescent="0.3">
      <c r="B42" s="381"/>
      <c r="C42" s="460"/>
      <c r="D42" s="460"/>
      <c r="E42" s="47"/>
      <c r="F42" s="379"/>
      <c r="G42" s="379"/>
      <c r="H42" s="379"/>
      <c r="I42" s="379"/>
      <c r="J42" s="379"/>
      <c r="K42" s="379"/>
      <c r="L42" s="379"/>
      <c r="M42" s="379"/>
      <c r="N42" s="379"/>
      <c r="O42" s="185"/>
      <c r="P42" s="185"/>
      <c r="R42" s="186"/>
      <c r="S42" s="185"/>
      <c r="T42" s="185"/>
    </row>
    <row r="43" spans="2:20" x14ac:dyDescent="0.3">
      <c r="B43" s="381"/>
      <c r="C43" s="460"/>
      <c r="D43" s="460"/>
      <c r="E43" s="47"/>
      <c r="J43" s="271"/>
      <c r="O43" s="185"/>
      <c r="P43" s="185"/>
      <c r="R43" s="186"/>
      <c r="S43" s="185"/>
      <c r="T43" s="185"/>
    </row>
    <row r="44" spans="2:20" x14ac:dyDescent="0.3">
      <c r="B44" s="381"/>
      <c r="C44" s="460"/>
      <c r="D44" s="460"/>
      <c r="E44" s="34"/>
      <c r="J44" s="271"/>
      <c r="O44" s="185"/>
      <c r="P44" s="185"/>
      <c r="R44" s="186"/>
      <c r="S44" s="185"/>
      <c r="T44" s="185"/>
    </row>
    <row r="45" spans="2:20" ht="16.5" customHeight="1" x14ac:dyDescent="0.3">
      <c r="B45" s="381"/>
      <c r="C45" s="460"/>
      <c r="D45" s="460"/>
      <c r="E45" s="34"/>
      <c r="J45" s="271"/>
      <c r="O45" s="185"/>
      <c r="P45" s="185"/>
      <c r="R45" s="186"/>
      <c r="S45" s="185"/>
      <c r="T45" s="185"/>
    </row>
    <row r="46" spans="2:20" ht="16.5" customHeight="1" x14ac:dyDescent="0.3">
      <c r="B46" s="381"/>
      <c r="C46" s="460"/>
      <c r="D46" s="460"/>
      <c r="E46" s="34"/>
      <c r="J46" s="271"/>
      <c r="O46" s="185"/>
      <c r="P46" s="185"/>
      <c r="R46" s="186"/>
      <c r="S46" s="185"/>
      <c r="T46" s="185"/>
    </row>
    <row r="47" spans="2:20" ht="16.5" customHeight="1" x14ac:dyDescent="0.3">
      <c r="B47" s="381"/>
      <c r="C47" s="460"/>
      <c r="D47" s="460"/>
      <c r="E47" s="34"/>
      <c r="J47" s="271"/>
      <c r="O47" s="185"/>
      <c r="P47" s="185"/>
      <c r="R47" s="186"/>
      <c r="S47" s="185"/>
      <c r="T47" s="185"/>
    </row>
    <row r="48" spans="2:20" ht="16.5" customHeight="1" x14ac:dyDescent="0.3">
      <c r="B48" s="381"/>
      <c r="C48" s="460"/>
      <c r="D48" s="460"/>
      <c r="E48" s="34"/>
      <c r="J48" s="271"/>
      <c r="O48" s="185"/>
      <c r="P48" s="185"/>
      <c r="R48" s="186"/>
      <c r="S48" s="185"/>
      <c r="T48" s="185"/>
    </row>
    <row r="49" spans="2:20" ht="16.5" customHeight="1" x14ac:dyDescent="0.3">
      <c r="B49" s="381"/>
      <c r="C49" s="460"/>
      <c r="D49" s="460"/>
      <c r="E49" s="34"/>
      <c r="J49" s="271"/>
      <c r="O49" s="185"/>
      <c r="P49" s="185"/>
      <c r="R49" s="186"/>
      <c r="S49" s="185"/>
      <c r="T49" s="185"/>
    </row>
    <row r="50" spans="2:20" x14ac:dyDescent="0.3">
      <c r="B50" s="381"/>
      <c r="C50" s="460"/>
      <c r="D50" s="460"/>
      <c r="E50" s="34"/>
      <c r="J50" s="271"/>
      <c r="O50" s="185"/>
      <c r="P50" s="185"/>
      <c r="R50" s="186"/>
      <c r="S50" s="185"/>
      <c r="T50" s="185"/>
    </row>
    <row r="51" spans="2:20" x14ac:dyDescent="0.3">
      <c r="E51" s="34"/>
      <c r="J51" s="271"/>
      <c r="O51" s="185"/>
      <c r="P51" s="185"/>
      <c r="R51" s="186"/>
      <c r="S51" s="185"/>
      <c r="T51" s="185"/>
    </row>
    <row r="52" spans="2:20" x14ac:dyDescent="0.3">
      <c r="B52" s="381">
        <v>3</v>
      </c>
      <c r="C52" s="435" t="s">
        <v>335</v>
      </c>
      <c r="D52" s="417"/>
      <c r="E52" s="47"/>
      <c r="F52" s="390" t="s">
        <v>277</v>
      </c>
      <c r="G52" s="390"/>
      <c r="H52" s="390"/>
      <c r="I52" s="390"/>
      <c r="J52" s="379"/>
      <c r="K52" s="379"/>
      <c r="L52" s="379"/>
      <c r="M52" s="379"/>
      <c r="N52" s="379"/>
      <c r="O52" s="185"/>
      <c r="P52" s="185"/>
      <c r="R52" s="186"/>
      <c r="S52" s="185"/>
      <c r="T52" s="185"/>
    </row>
    <row r="53" spans="2:20" ht="105.75" customHeight="1" x14ac:dyDescent="0.3">
      <c r="B53" s="381"/>
      <c r="C53" s="417"/>
      <c r="D53" s="417"/>
      <c r="E53" s="47"/>
      <c r="F53" s="369" t="s">
        <v>270</v>
      </c>
      <c r="G53" s="369" t="s">
        <v>332</v>
      </c>
      <c r="H53" s="369" t="s">
        <v>333</v>
      </c>
      <c r="I53" s="369" t="s">
        <v>334</v>
      </c>
      <c r="J53" s="379"/>
      <c r="K53" s="379"/>
      <c r="L53" s="379"/>
      <c r="M53" s="379"/>
      <c r="N53" s="379"/>
      <c r="O53" s="185"/>
      <c r="P53" s="185"/>
      <c r="R53" s="186"/>
      <c r="S53" s="185"/>
      <c r="T53" s="185"/>
    </row>
    <row r="54" spans="2:20" x14ac:dyDescent="0.3">
      <c r="B54" s="381"/>
      <c r="C54" s="417"/>
      <c r="D54" s="417"/>
      <c r="E54" s="47"/>
      <c r="F54" s="383" t="s">
        <v>271</v>
      </c>
      <c r="G54" s="68">
        <v>0.222</v>
      </c>
      <c r="H54" s="68">
        <f>1-G54</f>
        <v>0.77800000000000002</v>
      </c>
      <c r="I54" s="384">
        <f>SUMSQ(G54:H54)</f>
        <v>0.65456800000000004</v>
      </c>
      <c r="J54" s="379"/>
      <c r="K54" s="32" t="s">
        <v>272</v>
      </c>
      <c r="L54" s="32" t="s">
        <v>278</v>
      </c>
      <c r="M54" s="69" t="s">
        <v>279</v>
      </c>
      <c r="N54" s="70">
        <v>43124</v>
      </c>
      <c r="O54" s="185"/>
      <c r="P54" s="185"/>
      <c r="R54" s="186"/>
      <c r="S54" s="185"/>
      <c r="T54" s="185"/>
    </row>
    <row r="55" spans="2:20" ht="16.5" customHeight="1" x14ac:dyDescent="0.3">
      <c r="B55" s="381"/>
      <c r="C55" s="417"/>
      <c r="D55" s="417"/>
      <c r="E55" s="47"/>
      <c r="F55" s="13" t="s">
        <v>273</v>
      </c>
      <c r="G55" s="68">
        <v>0.42699999999999999</v>
      </c>
      <c r="H55" s="68">
        <f t="shared" ref="H55:H57" si="3">1-G55</f>
        <v>0.57299999999999995</v>
      </c>
      <c r="I55" s="384">
        <f t="shared" ref="I55:I57" si="4">SUMSQ(G55:H55)</f>
        <v>0.51065799999999995</v>
      </c>
      <c r="J55" s="379"/>
      <c r="K55" s="379"/>
      <c r="L55" s="379"/>
      <c r="M55" s="379"/>
      <c r="N55" s="379"/>
      <c r="O55" s="185"/>
      <c r="P55" s="185"/>
      <c r="R55" s="186"/>
      <c r="S55" s="185"/>
      <c r="T55" s="185"/>
    </row>
    <row r="56" spans="2:20" x14ac:dyDescent="0.3">
      <c r="B56" s="381"/>
      <c r="C56" s="417"/>
      <c r="D56" s="417"/>
      <c r="E56" s="47"/>
      <c r="F56" s="383" t="s">
        <v>274</v>
      </c>
      <c r="G56" s="68">
        <v>0.52500000000000002</v>
      </c>
      <c r="H56" s="68">
        <f t="shared" si="3"/>
        <v>0.47499999999999998</v>
      </c>
      <c r="I56" s="384">
        <f t="shared" si="4"/>
        <v>0.50124999999999997</v>
      </c>
      <c r="J56" s="379"/>
      <c r="K56" s="379"/>
      <c r="L56" s="379"/>
      <c r="M56" s="379"/>
      <c r="N56" s="379"/>
      <c r="O56" s="185"/>
      <c r="P56" s="185"/>
      <c r="R56" s="186"/>
      <c r="S56" s="185"/>
      <c r="T56" s="185"/>
    </row>
    <row r="57" spans="2:20" ht="17.25" thickBot="1" x14ac:dyDescent="0.35">
      <c r="B57" s="381"/>
      <c r="C57" s="417"/>
      <c r="D57" s="417"/>
      <c r="E57" s="47"/>
      <c r="F57" s="385" t="s">
        <v>275</v>
      </c>
      <c r="G57" s="386">
        <v>0.621</v>
      </c>
      <c r="H57" s="386">
        <f t="shared" si="3"/>
        <v>0.379</v>
      </c>
      <c r="I57" s="387">
        <f t="shared" si="4"/>
        <v>0.52928200000000003</v>
      </c>
      <c r="J57" s="379"/>
      <c r="K57" s="379"/>
      <c r="L57" s="379"/>
      <c r="M57" s="379"/>
      <c r="N57" s="379"/>
      <c r="O57" s="185"/>
      <c r="P57" s="185"/>
      <c r="R57" s="186"/>
      <c r="S57" s="185"/>
      <c r="T57" s="185"/>
    </row>
    <row r="58" spans="2:20" ht="17.25" thickTop="1" x14ac:dyDescent="0.3">
      <c r="B58" s="381"/>
      <c r="C58" s="417"/>
      <c r="D58" s="417"/>
      <c r="E58" s="47"/>
      <c r="F58" s="68" t="s">
        <v>57</v>
      </c>
      <c r="G58" s="68">
        <f>SUMPRODUCT(G54:G57,$I$36:$I$39)/SUM($I$36:$I$39)</f>
        <v>0.57831999999999995</v>
      </c>
      <c r="H58" s="68">
        <f>1-G58</f>
        <v>0.42168000000000005</v>
      </c>
      <c r="I58" s="388">
        <f>SUMSQ(G58:H58)</f>
        <v>0.51226804479999999</v>
      </c>
      <c r="J58" s="379"/>
      <c r="K58" s="379"/>
      <c r="L58" s="379"/>
      <c r="M58" s="379"/>
      <c r="N58" s="379"/>
      <c r="O58" s="185"/>
      <c r="P58" s="185"/>
      <c r="R58" s="186"/>
      <c r="S58" s="185"/>
      <c r="T58" s="185"/>
    </row>
    <row r="59" spans="2:20" x14ac:dyDescent="0.3">
      <c r="B59" s="381"/>
      <c r="C59" s="417"/>
      <c r="D59" s="417"/>
      <c r="E59" s="47"/>
      <c r="F59" s="379"/>
      <c r="G59" s="379"/>
      <c r="H59" s="379"/>
      <c r="I59" s="379"/>
      <c r="J59" s="379"/>
      <c r="K59" s="379"/>
      <c r="L59" s="379"/>
      <c r="M59" s="379"/>
      <c r="N59" s="379"/>
      <c r="O59" s="185"/>
      <c r="P59" s="185"/>
      <c r="R59" s="186"/>
      <c r="S59" s="185"/>
      <c r="T59" s="185"/>
    </row>
    <row r="60" spans="2:20" x14ac:dyDescent="0.3">
      <c r="B60" s="381"/>
      <c r="C60" s="417"/>
      <c r="D60" s="417"/>
      <c r="E60" s="47"/>
      <c r="F60" s="390" t="s">
        <v>280</v>
      </c>
      <c r="G60" s="390"/>
      <c r="H60" s="390"/>
      <c r="I60" s="390"/>
      <c r="J60" s="379"/>
      <c r="K60" s="379"/>
      <c r="L60" s="379"/>
      <c r="M60" s="379"/>
      <c r="N60" s="379"/>
      <c r="O60" s="185"/>
      <c r="P60" s="185"/>
      <c r="R60" s="186"/>
      <c r="S60" s="185"/>
      <c r="T60" s="185"/>
    </row>
    <row r="61" spans="2:20" ht="59.25" customHeight="1" x14ac:dyDescent="0.3">
      <c r="B61" s="381"/>
      <c r="C61" s="417"/>
      <c r="D61" s="417"/>
      <c r="E61" s="47"/>
      <c r="F61" s="369" t="s">
        <v>270</v>
      </c>
      <c r="G61" s="369" t="s">
        <v>325</v>
      </c>
      <c r="H61" s="369" t="s">
        <v>326</v>
      </c>
      <c r="I61" s="369" t="s">
        <v>327</v>
      </c>
      <c r="J61" s="379"/>
      <c r="K61" s="379"/>
      <c r="L61" s="379"/>
      <c r="M61" s="379"/>
      <c r="N61" s="379"/>
      <c r="O61" s="185"/>
      <c r="P61" s="185"/>
      <c r="R61" s="186"/>
      <c r="S61" s="185"/>
      <c r="T61" s="185"/>
    </row>
    <row r="62" spans="2:20" x14ac:dyDescent="0.3">
      <c r="B62" s="381"/>
      <c r="C62" s="417"/>
      <c r="D62" s="417"/>
      <c r="E62" s="47"/>
      <c r="F62" s="383" t="s">
        <v>271</v>
      </c>
      <c r="G62" s="68">
        <f>1-H62</f>
        <v>0</v>
      </c>
      <c r="H62" s="68">
        <v>1</v>
      </c>
      <c r="I62" s="384">
        <f>SUMSQ(G62:H62)</f>
        <v>1</v>
      </c>
      <c r="J62" s="379"/>
      <c r="K62" s="32" t="s">
        <v>272</v>
      </c>
      <c r="L62" s="32" t="s">
        <v>281</v>
      </c>
      <c r="M62" s="69" t="s">
        <v>282</v>
      </c>
      <c r="N62" s="70">
        <v>43124</v>
      </c>
      <c r="O62" s="185"/>
      <c r="P62" s="185"/>
      <c r="R62" s="186"/>
      <c r="S62" s="185"/>
      <c r="T62" s="185"/>
    </row>
    <row r="63" spans="2:20" x14ac:dyDescent="0.3">
      <c r="B63" s="381"/>
      <c r="C63" s="417"/>
      <c r="D63" s="417"/>
      <c r="E63" s="47"/>
      <c r="F63" s="13" t="s">
        <v>273</v>
      </c>
      <c r="G63" s="68">
        <f>1-H63</f>
        <v>0</v>
      </c>
      <c r="H63" s="68">
        <v>1</v>
      </c>
      <c r="I63" s="384">
        <f>SUMSQ(G63:H63)</f>
        <v>1</v>
      </c>
      <c r="J63" s="379"/>
      <c r="K63" s="379"/>
      <c r="L63" s="379"/>
      <c r="M63" s="379"/>
      <c r="N63" s="379"/>
      <c r="O63" s="185"/>
      <c r="P63" s="185"/>
      <c r="R63" s="186"/>
      <c r="S63" s="185"/>
      <c r="T63" s="185"/>
    </row>
    <row r="64" spans="2:20" x14ac:dyDescent="0.3">
      <c r="B64" s="381"/>
      <c r="C64" s="417"/>
      <c r="D64" s="417"/>
      <c r="E64" s="47"/>
      <c r="F64" s="383" t="s">
        <v>274</v>
      </c>
      <c r="G64" s="68">
        <f>1-H64</f>
        <v>0.4285714285714286</v>
      </c>
      <c r="H64" s="68">
        <v>0.5714285714285714</v>
      </c>
      <c r="I64" s="384">
        <f>SUMSQ(G64:H64)</f>
        <v>0.51020408163265307</v>
      </c>
      <c r="J64" s="379"/>
      <c r="K64" s="379"/>
      <c r="L64" s="379"/>
      <c r="M64" s="379"/>
      <c r="N64" s="379"/>
      <c r="O64" s="185"/>
      <c r="P64" s="185"/>
      <c r="R64" s="186"/>
      <c r="S64" s="185"/>
      <c r="T64" s="185"/>
    </row>
    <row r="65" spans="1:24" ht="17.25" thickBot="1" x14ac:dyDescent="0.35">
      <c r="B65" s="381"/>
      <c r="C65" s="417"/>
      <c r="D65" s="417"/>
      <c r="E65" s="47"/>
      <c r="F65" s="385" t="s">
        <v>275</v>
      </c>
      <c r="G65" s="386">
        <f>1-H65</f>
        <v>0.90625</v>
      </c>
      <c r="H65" s="386">
        <v>9.375E-2</v>
      </c>
      <c r="I65" s="387">
        <f>SUMSQ(G65:H65)</f>
        <v>0.830078125</v>
      </c>
      <c r="J65" s="379"/>
      <c r="K65" s="379"/>
      <c r="L65" s="379"/>
      <c r="M65" s="379"/>
      <c r="N65" s="379"/>
      <c r="O65" s="185"/>
      <c r="P65" s="185"/>
      <c r="R65" s="186"/>
      <c r="S65" s="185"/>
      <c r="T65" s="185"/>
    </row>
    <row r="66" spans="1:24" ht="17.25" thickTop="1" x14ac:dyDescent="0.3">
      <c r="B66" s="381"/>
      <c r="C66" s="417"/>
      <c r="D66" s="417"/>
      <c r="E66" s="47"/>
      <c r="F66" s="68" t="s">
        <v>57</v>
      </c>
      <c r="G66" s="68">
        <f>SUMPRODUCT(G62:G65,$I$36:$I$39)/SUM($I$36:$I$39)</f>
        <v>0.71535714285714291</v>
      </c>
      <c r="H66" s="68">
        <v>0.13978494623655913</v>
      </c>
      <c r="I66" s="388">
        <f>SUMSQ(G66:H66)</f>
        <v>0.53127567303109258</v>
      </c>
      <c r="J66" s="379"/>
      <c r="K66" s="379"/>
      <c r="L66" s="379"/>
      <c r="M66" s="379"/>
      <c r="N66" s="379"/>
      <c r="O66" s="185"/>
      <c r="P66" s="185"/>
      <c r="R66" s="186"/>
      <c r="S66" s="185"/>
      <c r="T66" s="185"/>
    </row>
    <row r="67" spans="1:24" ht="16.5" customHeight="1" x14ac:dyDescent="0.3">
      <c r="A67" s="208"/>
      <c r="B67" s="208"/>
      <c r="C67" s="208"/>
      <c r="D67" s="208"/>
      <c r="E67" s="34"/>
      <c r="J67" s="379"/>
      <c r="K67" s="379"/>
      <c r="L67" s="379"/>
      <c r="M67" s="379"/>
      <c r="N67" s="379"/>
      <c r="O67" s="185"/>
      <c r="P67" s="185"/>
      <c r="R67" s="186"/>
      <c r="S67" s="185"/>
      <c r="T67" s="185"/>
    </row>
    <row r="68" spans="1:24" ht="16.5" customHeight="1" x14ac:dyDescent="0.3">
      <c r="B68" s="381">
        <v>4</v>
      </c>
      <c r="C68" s="417" t="s">
        <v>336</v>
      </c>
      <c r="D68" s="417"/>
      <c r="E68" s="34"/>
      <c r="F68" s="390" t="s">
        <v>277</v>
      </c>
      <c r="G68" s="390"/>
      <c r="H68" s="390"/>
      <c r="I68" s="390"/>
      <c r="J68" s="379"/>
      <c r="K68" s="379"/>
      <c r="L68" s="379"/>
      <c r="M68" s="379"/>
      <c r="N68" s="379"/>
      <c r="O68" s="185"/>
      <c r="P68" s="185"/>
      <c r="R68" s="186"/>
      <c r="S68" s="185"/>
      <c r="T68" s="185"/>
      <c r="U68" s="185"/>
      <c r="V68" s="185"/>
      <c r="W68" s="185"/>
      <c r="X68" s="185"/>
    </row>
    <row r="69" spans="1:24" ht="116.25" thickBot="1" x14ac:dyDescent="0.35">
      <c r="B69" s="381"/>
      <c r="C69" s="417"/>
      <c r="D69" s="417"/>
      <c r="E69" s="34"/>
      <c r="F69" s="369" t="s">
        <v>322</v>
      </c>
      <c r="G69" s="369" t="s">
        <v>283</v>
      </c>
      <c r="H69" s="211" t="s">
        <v>284</v>
      </c>
      <c r="I69" s="211" t="s">
        <v>285</v>
      </c>
      <c r="O69" s="185"/>
      <c r="P69" s="185"/>
      <c r="R69" s="186"/>
      <c r="S69" s="185"/>
      <c r="T69" s="185"/>
      <c r="U69" s="185"/>
      <c r="V69" s="185"/>
      <c r="W69" s="185"/>
      <c r="X69" s="185"/>
    </row>
    <row r="70" spans="1:24" ht="17.25" thickBot="1" x14ac:dyDescent="0.35">
      <c r="B70" s="381"/>
      <c r="C70" s="417"/>
      <c r="D70" s="417"/>
      <c r="E70" s="34"/>
      <c r="F70" s="391">
        <f>I58-I32</f>
        <v>1.1468044799999966E-2</v>
      </c>
      <c r="G70" s="392">
        <f>F70*$F$22*100</f>
        <v>1.8348871679999944E-3</v>
      </c>
      <c r="H70" s="277">
        <f>F25/(1+G70)</f>
        <v>19963369.469530314</v>
      </c>
      <c r="I70" s="216">
        <f>F25-H70</f>
        <v>36630.530469685793</v>
      </c>
      <c r="O70" s="185"/>
      <c r="P70" s="185"/>
      <c r="R70" s="186"/>
      <c r="S70" s="185"/>
      <c r="T70" s="185"/>
      <c r="U70" s="185"/>
      <c r="V70" s="185"/>
      <c r="W70" s="185"/>
      <c r="X70" s="185"/>
    </row>
    <row r="71" spans="1:24" x14ac:dyDescent="0.3">
      <c r="B71" s="381"/>
      <c r="C71" s="417"/>
      <c r="D71" s="417"/>
      <c r="E71" s="34"/>
      <c r="F71" s="379"/>
      <c r="G71" s="379"/>
      <c r="H71" s="379"/>
      <c r="I71" s="379"/>
      <c r="O71" s="185"/>
      <c r="P71" s="185"/>
      <c r="R71" s="186"/>
      <c r="S71" s="185"/>
      <c r="T71" s="185"/>
      <c r="U71" s="185"/>
      <c r="V71" s="185"/>
      <c r="W71" s="185"/>
      <c r="X71" s="185"/>
    </row>
    <row r="72" spans="1:24" x14ac:dyDescent="0.3">
      <c r="B72" s="381"/>
      <c r="C72" s="417"/>
      <c r="D72" s="417"/>
      <c r="E72" s="34"/>
      <c r="F72" s="390" t="s">
        <v>280</v>
      </c>
      <c r="G72" s="390"/>
      <c r="H72" s="390"/>
      <c r="I72" s="390"/>
      <c r="O72" s="185"/>
      <c r="P72" s="185"/>
      <c r="R72" s="186"/>
      <c r="S72" s="185"/>
      <c r="T72" s="185"/>
      <c r="U72" s="185"/>
      <c r="V72" s="185"/>
      <c r="W72" s="185"/>
      <c r="X72" s="185"/>
    </row>
    <row r="73" spans="1:24" ht="116.25" thickBot="1" x14ac:dyDescent="0.35">
      <c r="B73" s="381"/>
      <c r="C73" s="417"/>
      <c r="D73" s="417"/>
      <c r="E73" s="34"/>
      <c r="F73" s="369" t="s">
        <v>328</v>
      </c>
      <c r="G73" s="369" t="s">
        <v>286</v>
      </c>
      <c r="H73" s="211" t="s">
        <v>284</v>
      </c>
      <c r="I73" s="211" t="s">
        <v>287</v>
      </c>
      <c r="O73" s="185"/>
      <c r="P73" s="185"/>
      <c r="R73" s="186"/>
      <c r="S73" s="185"/>
      <c r="T73" s="185"/>
      <c r="U73" s="185"/>
      <c r="V73" s="185"/>
      <c r="W73" s="185"/>
      <c r="X73" s="185"/>
    </row>
    <row r="74" spans="1:24" ht="16.5" customHeight="1" thickBot="1" x14ac:dyDescent="0.35">
      <c r="B74" s="381"/>
      <c r="C74" s="417"/>
      <c r="D74" s="417"/>
      <c r="E74" s="34"/>
      <c r="F74" s="391">
        <f>I66-I32</f>
        <v>3.0475673031092554E-2</v>
      </c>
      <c r="G74" s="392">
        <f>F74*$F$22*100</f>
        <v>4.8761076849748088E-3</v>
      </c>
      <c r="H74" s="277">
        <f>F25/(1+G74)</f>
        <v>19902951.067346834</v>
      </c>
      <c r="I74" s="216">
        <f>F25-H74</f>
        <v>97048.932653166354</v>
      </c>
      <c r="J74" s="379"/>
      <c r="K74" s="47"/>
      <c r="M74" s="69"/>
      <c r="N74" s="218"/>
      <c r="O74" s="185"/>
      <c r="P74" s="185"/>
      <c r="U74" s="185"/>
      <c r="V74" s="185"/>
      <c r="W74" s="185"/>
      <c r="X74" s="185"/>
    </row>
    <row r="75" spans="1:24" x14ac:dyDescent="0.3">
      <c r="C75" s="208"/>
      <c r="D75" s="208"/>
      <c r="E75" s="34"/>
      <c r="F75" s="379"/>
      <c r="G75" s="379"/>
      <c r="H75" s="379"/>
      <c r="I75" s="379"/>
      <c r="J75" s="379"/>
      <c r="K75" s="379"/>
      <c r="L75" s="379"/>
      <c r="M75" s="379"/>
      <c r="N75" s="379"/>
      <c r="O75" s="185"/>
      <c r="P75" s="185"/>
      <c r="R75" s="185"/>
      <c r="S75" s="185"/>
      <c r="U75" s="185"/>
      <c r="V75" s="185"/>
      <c r="W75" s="185"/>
      <c r="X75" s="185"/>
    </row>
    <row r="76" spans="1:24" x14ac:dyDescent="0.3">
      <c r="C76" s="208"/>
      <c r="D76" s="208"/>
      <c r="E76" s="34"/>
      <c r="J76" s="379"/>
      <c r="K76" s="379"/>
      <c r="L76" s="379"/>
      <c r="M76" s="379"/>
      <c r="N76" s="379"/>
      <c r="O76" s="185"/>
      <c r="P76" s="185"/>
      <c r="R76" s="185"/>
      <c r="S76" s="185"/>
      <c r="U76" s="185"/>
      <c r="V76" s="185"/>
      <c r="W76" s="185"/>
      <c r="X76" s="185"/>
    </row>
    <row r="77" spans="1:24" x14ac:dyDescent="0.3">
      <c r="C77" s="208"/>
      <c r="D77" s="208"/>
      <c r="E77" s="34"/>
      <c r="J77" s="379"/>
      <c r="K77" s="379"/>
      <c r="L77" s="379"/>
      <c r="M77" s="379"/>
      <c r="N77" s="379"/>
      <c r="R77" s="22"/>
      <c r="S77" s="185"/>
      <c r="U77" s="185"/>
      <c r="V77" s="185"/>
      <c r="W77" s="185"/>
      <c r="X77" s="185"/>
    </row>
    <row r="78" spans="1:24" x14ac:dyDescent="0.3">
      <c r="C78" s="208"/>
      <c r="D78" s="208"/>
      <c r="E78" s="34"/>
      <c r="J78" s="379"/>
      <c r="K78" s="379"/>
      <c r="L78" s="379"/>
      <c r="M78" s="379"/>
      <c r="N78" s="379"/>
      <c r="R78" s="22"/>
      <c r="S78" s="185"/>
      <c r="U78" s="185"/>
      <c r="V78" s="185"/>
      <c r="W78" s="185"/>
      <c r="X78" s="185"/>
    </row>
    <row r="79" spans="1:24" x14ac:dyDescent="0.3">
      <c r="C79" s="208"/>
      <c r="D79" s="208"/>
      <c r="E79" s="34"/>
      <c r="J79" s="379"/>
      <c r="K79" s="379"/>
      <c r="L79" s="379"/>
      <c r="M79" s="379"/>
      <c r="N79" s="379"/>
      <c r="R79" s="22"/>
      <c r="S79" s="185"/>
      <c r="U79" s="185"/>
      <c r="V79" s="185"/>
      <c r="W79" s="185"/>
      <c r="X79" s="185"/>
    </row>
    <row r="80" spans="1:24" x14ac:dyDescent="0.3">
      <c r="C80" s="208"/>
      <c r="D80" s="208"/>
      <c r="E80" s="34"/>
      <c r="J80" s="379"/>
      <c r="K80" s="379"/>
      <c r="L80" s="379"/>
      <c r="M80" s="379"/>
      <c r="N80" s="379"/>
      <c r="R80" s="22"/>
      <c r="S80" s="185"/>
      <c r="U80" s="185"/>
      <c r="V80" s="185"/>
      <c r="W80" s="185"/>
      <c r="X80" s="185"/>
    </row>
    <row r="81" spans="1:24" ht="16.5" customHeight="1" x14ac:dyDescent="0.3">
      <c r="C81" s="208"/>
      <c r="D81" s="208"/>
      <c r="E81" s="34"/>
      <c r="J81" s="379"/>
      <c r="K81" s="379"/>
      <c r="L81" s="379"/>
      <c r="M81" s="379"/>
      <c r="N81" s="379"/>
      <c r="R81" s="22"/>
      <c r="S81" s="185"/>
      <c r="U81" s="185"/>
      <c r="V81" s="185"/>
      <c r="W81" s="185"/>
      <c r="X81" s="185"/>
    </row>
    <row r="82" spans="1:24" ht="16.5" customHeight="1" x14ac:dyDescent="0.3">
      <c r="C82" s="271"/>
      <c r="E82" s="34"/>
      <c r="J82" s="379"/>
      <c r="K82" s="379"/>
      <c r="L82" s="379"/>
      <c r="M82" s="379"/>
      <c r="N82" s="379"/>
    </row>
    <row r="83" spans="1:24" x14ac:dyDescent="0.3">
      <c r="C83" s="271"/>
      <c r="F83" s="379"/>
      <c r="G83" s="379"/>
      <c r="H83" s="379"/>
      <c r="I83" s="379"/>
      <c r="J83" s="32"/>
      <c r="K83" s="32"/>
      <c r="L83" s="32"/>
      <c r="M83" s="32"/>
      <c r="N83" s="32"/>
    </row>
    <row r="84" spans="1:24" x14ac:dyDescent="0.3">
      <c r="C84" s="271"/>
    </row>
    <row r="85" spans="1:24" x14ac:dyDescent="0.3">
      <c r="B85" s="271"/>
      <c r="C85" s="271"/>
    </row>
    <row r="86" spans="1:24" x14ac:dyDescent="0.3">
      <c r="B86" s="271"/>
      <c r="C86" s="271"/>
    </row>
    <row r="87" spans="1:24" s="185" customFormat="1" ht="17.25" customHeight="1" x14ac:dyDescent="0.3">
      <c r="A87" s="271"/>
      <c r="B87" s="271"/>
      <c r="C87" s="271"/>
      <c r="D87" s="271"/>
      <c r="F87" s="271"/>
      <c r="G87" s="271"/>
      <c r="H87" s="271"/>
      <c r="I87" s="271"/>
      <c r="K87" s="271"/>
      <c r="L87" s="271"/>
      <c r="M87" s="271"/>
      <c r="N87" s="271"/>
      <c r="O87" s="271"/>
      <c r="P87" s="271"/>
      <c r="Q87" s="271"/>
      <c r="R87" s="271"/>
      <c r="S87" s="271"/>
      <c r="T87" s="271"/>
      <c r="U87" s="271"/>
      <c r="V87" s="271"/>
      <c r="W87" s="271"/>
      <c r="X87" s="271"/>
    </row>
    <row r="88" spans="1:24" s="185" customFormat="1" x14ac:dyDescent="0.3">
      <c r="A88" s="271"/>
      <c r="B88" s="10"/>
      <c r="C88" s="274"/>
      <c r="D88" s="58"/>
      <c r="F88" s="271"/>
      <c r="G88" s="271"/>
      <c r="H88" s="271"/>
      <c r="I88" s="271"/>
      <c r="K88" s="271"/>
      <c r="L88" s="271"/>
      <c r="M88" s="271"/>
      <c r="N88" s="271"/>
      <c r="O88" s="271"/>
      <c r="P88" s="271"/>
      <c r="Q88" s="271"/>
      <c r="R88" s="271"/>
      <c r="S88" s="271"/>
      <c r="T88" s="271"/>
      <c r="U88" s="271"/>
      <c r="V88" s="271"/>
      <c r="W88" s="271"/>
      <c r="X88" s="271"/>
    </row>
  </sheetData>
  <mergeCells count="10">
    <mergeCell ref="C21:D35"/>
    <mergeCell ref="C37:D50"/>
    <mergeCell ref="C52:D66"/>
    <mergeCell ref="C68:D74"/>
    <mergeCell ref="L2:N2"/>
    <mergeCell ref="L3:N3"/>
    <mergeCell ref="L4:N4"/>
    <mergeCell ref="L5:N5"/>
    <mergeCell ref="B11:N15"/>
    <mergeCell ref="C18:N18"/>
  </mergeCells>
  <hyperlinks>
    <hyperlink ref="M28" r:id="rId1" xr:uid="{00000000-0004-0000-0B00-000000000000}"/>
    <hyperlink ref="M54" r:id="rId2" location="gender_comp_content" xr:uid="{00000000-0004-0000-0B00-000001000000}"/>
    <hyperlink ref="M22" r:id="rId3" xr:uid="{00000000-0004-0000-0B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W52"/>
  <sheetViews>
    <sheetView zoomScale="70" zoomScaleNormal="70" zoomScaleSheetLayoutView="100" workbookViewId="0">
      <selection activeCell="H1" sqref="H1:J1"/>
    </sheetView>
  </sheetViews>
  <sheetFormatPr defaultRowHeight="16.5" x14ac:dyDescent="0.3"/>
  <cols>
    <col min="1" max="1" width="3.5" style="4" customWidth="1"/>
    <col min="2" max="2" width="3.125" style="10" customWidth="1"/>
    <col min="3" max="3" width="24.125" style="20" customWidth="1"/>
    <col min="4" max="4" width="58.25" style="4" customWidth="1"/>
    <col min="5" max="5" width="1.625" style="2" customWidth="1"/>
    <col min="6" max="6" width="22.125" style="4" customWidth="1"/>
    <col min="7" max="7" width="16.75" style="4" customWidth="1"/>
    <col min="8" max="8" width="17.625" style="4" customWidth="1"/>
    <col min="9" max="9" width="14.75" style="2" customWidth="1"/>
    <col min="10" max="10" width="15.75" style="4" customWidth="1"/>
    <col min="11" max="11" width="2.75" style="4" customWidth="1"/>
    <col min="12" max="12" width="13" style="4" customWidth="1"/>
    <col min="13" max="13" width="11" style="4" customWidth="1"/>
    <col min="14" max="14" width="9" style="4"/>
    <col min="15" max="15" width="11.75" style="4" customWidth="1"/>
    <col min="16" max="18" width="9" style="4"/>
    <col min="19" max="19" width="14.125" style="4" customWidth="1"/>
    <col min="20" max="16384" width="9" style="4"/>
  </cols>
  <sheetData>
    <row r="1" spans="2:16" x14ac:dyDescent="0.3">
      <c r="C1" s="4"/>
      <c r="H1" s="416"/>
      <c r="I1" s="416"/>
      <c r="J1" s="416"/>
    </row>
    <row r="2" spans="2:16" x14ac:dyDescent="0.3">
      <c r="C2" s="26" t="s">
        <v>10</v>
      </c>
      <c r="D2" s="13" t="s">
        <v>15</v>
      </c>
      <c r="E2" s="32"/>
      <c r="G2" s="207" t="s">
        <v>23</v>
      </c>
      <c r="H2" s="427" t="s">
        <v>140</v>
      </c>
      <c r="I2" s="427"/>
      <c r="J2" s="427"/>
      <c r="P2"/>
    </row>
    <row r="3" spans="2:16" x14ac:dyDescent="0.3">
      <c r="C3" s="26" t="s">
        <v>11</v>
      </c>
      <c r="D3" s="165" t="s">
        <v>248</v>
      </c>
      <c r="G3" s="200"/>
      <c r="H3" s="428" t="s">
        <v>13</v>
      </c>
      <c r="I3" s="428"/>
      <c r="J3" s="428"/>
      <c r="P3" s="200"/>
    </row>
    <row r="4" spans="2:16" ht="17.25" thickBot="1" x14ac:dyDescent="0.35">
      <c r="C4" s="26" t="s">
        <v>22</v>
      </c>
      <c r="D4" s="13" t="s">
        <v>3</v>
      </c>
      <c r="F4" s="20"/>
      <c r="G4" s="200"/>
      <c r="H4" s="429" t="s">
        <v>141</v>
      </c>
      <c r="I4" s="430"/>
      <c r="J4" s="430"/>
      <c r="P4" s="200"/>
    </row>
    <row r="5" spans="2:16" ht="17.25" thickBot="1" x14ac:dyDescent="0.35">
      <c r="C5" s="26"/>
      <c r="D5" s="13"/>
      <c r="G5" s="200"/>
      <c r="H5" s="431" t="s">
        <v>55</v>
      </c>
      <c r="I5" s="432"/>
      <c r="J5" s="433"/>
      <c r="P5" s="200"/>
    </row>
    <row r="6" spans="2:16" s="271" customFormat="1" x14ac:dyDescent="0.3">
      <c r="B6" s="10"/>
      <c r="C6" s="207"/>
      <c r="D6" s="32"/>
      <c r="E6" s="185"/>
      <c r="K6" s="303"/>
      <c r="L6" s="303"/>
      <c r="M6" s="303"/>
    </row>
    <row r="7" spans="2:16" s="271" customFormat="1" x14ac:dyDescent="0.3">
      <c r="B7" s="10"/>
      <c r="C7" s="207" t="s">
        <v>215</v>
      </c>
      <c r="D7" s="359">
        <f>F44</f>
        <v>29792452.393623173</v>
      </c>
      <c r="E7" s="185"/>
      <c r="K7" s="303"/>
      <c r="L7" s="303"/>
      <c r="M7" s="303"/>
    </row>
    <row r="8" spans="2:16" ht="74.25" customHeight="1" x14ac:dyDescent="0.3">
      <c r="B8" s="38"/>
      <c r="C8" s="73" t="s">
        <v>12</v>
      </c>
      <c r="D8" s="37" t="s">
        <v>148</v>
      </c>
      <c r="E8" s="33"/>
      <c r="F8" s="7"/>
      <c r="G8" s="7"/>
      <c r="H8" s="7"/>
      <c r="I8" s="7"/>
      <c r="J8" s="7"/>
      <c r="K8" s="7"/>
      <c r="L8" s="7"/>
      <c r="M8" s="7"/>
      <c r="N8" s="7"/>
      <c r="O8" s="7"/>
    </row>
    <row r="9" spans="2:16" x14ac:dyDescent="0.3">
      <c r="C9" s="4"/>
      <c r="I9" s="4"/>
    </row>
    <row r="10" spans="2:16" x14ac:dyDescent="0.3">
      <c r="B10" s="27" t="s">
        <v>14</v>
      </c>
      <c r="C10" s="6"/>
      <c r="D10" s="6"/>
      <c r="E10" s="6"/>
      <c r="F10" s="6"/>
      <c r="G10" s="6"/>
      <c r="H10" s="6"/>
      <c r="I10" s="6"/>
      <c r="J10" s="6"/>
      <c r="K10" s="6"/>
      <c r="L10" s="6"/>
      <c r="M10" s="6"/>
      <c r="N10" s="202"/>
      <c r="O10" s="202"/>
    </row>
    <row r="11" spans="2:16" ht="16.5" customHeight="1" x14ac:dyDescent="0.3">
      <c r="B11" s="426" t="s">
        <v>134</v>
      </c>
      <c r="C11" s="426"/>
      <c r="D11" s="426"/>
      <c r="E11" s="426"/>
      <c r="F11" s="426"/>
      <c r="G11" s="426"/>
      <c r="H11" s="426"/>
      <c r="I11" s="426"/>
      <c r="J11" s="426"/>
      <c r="K11" s="426"/>
      <c r="L11" s="426"/>
      <c r="M11" s="426"/>
      <c r="N11" s="426"/>
      <c r="O11" s="426"/>
    </row>
    <row r="12" spans="2:16" x14ac:dyDescent="0.3">
      <c r="B12" s="426"/>
      <c r="C12" s="426"/>
      <c r="D12" s="426"/>
      <c r="E12" s="426"/>
      <c r="F12" s="426"/>
      <c r="G12" s="426"/>
      <c r="H12" s="426"/>
      <c r="I12" s="426"/>
      <c r="J12" s="426"/>
      <c r="K12" s="426"/>
      <c r="L12" s="426"/>
      <c r="M12" s="426"/>
      <c r="N12" s="426"/>
      <c r="O12" s="426"/>
    </row>
    <row r="13" spans="2:16" x14ac:dyDescent="0.3">
      <c r="B13" s="426"/>
      <c r="C13" s="426"/>
      <c r="D13" s="426"/>
      <c r="E13" s="426"/>
      <c r="F13" s="426"/>
      <c r="G13" s="426"/>
      <c r="H13" s="426"/>
      <c r="I13" s="426"/>
      <c r="J13" s="426"/>
      <c r="K13" s="426"/>
      <c r="L13" s="426"/>
      <c r="M13" s="426"/>
      <c r="N13" s="426"/>
      <c r="O13" s="426"/>
    </row>
    <row r="14" spans="2:16" x14ac:dyDescent="0.3">
      <c r="B14" s="16"/>
      <c r="C14" s="16"/>
      <c r="D14" s="16"/>
      <c r="E14" s="16"/>
      <c r="F14" s="16"/>
      <c r="G14" s="16"/>
      <c r="H14" s="16"/>
      <c r="I14" s="16"/>
      <c r="J14" s="16"/>
      <c r="K14" s="16"/>
      <c r="L14" s="16"/>
      <c r="M14" s="16"/>
    </row>
    <row r="15" spans="2:16" x14ac:dyDescent="0.3">
      <c r="B15" s="27" t="s">
        <v>16</v>
      </c>
      <c r="C15" s="6"/>
      <c r="D15" s="6"/>
      <c r="E15" s="6"/>
      <c r="F15" s="6"/>
      <c r="G15" s="6"/>
      <c r="H15" s="6"/>
      <c r="I15" s="6"/>
      <c r="J15" s="6"/>
      <c r="K15" s="6"/>
      <c r="L15" s="6"/>
      <c r="M15" s="6"/>
      <c r="N15" s="202"/>
      <c r="O15" s="202"/>
    </row>
    <row r="16" spans="2:16" ht="16.5" customHeight="1" x14ac:dyDescent="0.3">
      <c r="B16" s="28">
        <v>1</v>
      </c>
      <c r="C16" s="425" t="s">
        <v>254</v>
      </c>
      <c r="D16" s="425"/>
      <c r="E16" s="425"/>
      <c r="F16" s="425"/>
      <c r="G16" s="425"/>
      <c r="H16" s="425"/>
      <c r="I16" s="425"/>
      <c r="J16" s="425"/>
      <c r="K16" s="425"/>
      <c r="L16" s="425"/>
      <c r="M16" s="425"/>
    </row>
    <row r="17" spans="2:23" x14ac:dyDescent="0.3">
      <c r="C17" s="4"/>
      <c r="I17" s="4"/>
    </row>
    <row r="18" spans="2:23" x14ac:dyDescent="0.3">
      <c r="B18" s="27" t="s">
        <v>38</v>
      </c>
      <c r="C18" s="6"/>
      <c r="D18" s="6"/>
      <c r="F18" s="25" t="s">
        <v>25</v>
      </c>
      <c r="G18" s="6"/>
      <c r="H18" s="202"/>
      <c r="I18" s="202"/>
      <c r="J18" s="6"/>
      <c r="K18" s="2"/>
      <c r="L18" s="25" t="s">
        <v>24</v>
      </c>
      <c r="M18" s="25"/>
      <c r="N18" s="25"/>
      <c r="O18" s="6"/>
    </row>
    <row r="19" spans="2:23" ht="49.5" x14ac:dyDescent="0.3">
      <c r="B19" s="28">
        <v>1</v>
      </c>
      <c r="C19" s="417" t="s">
        <v>340</v>
      </c>
      <c r="D19" s="418"/>
      <c r="F19" s="42" t="s">
        <v>21</v>
      </c>
      <c r="G19" s="43" t="s">
        <v>143</v>
      </c>
      <c r="H19" s="212" t="s">
        <v>145</v>
      </c>
      <c r="I19" s="212" t="s">
        <v>144</v>
      </c>
      <c r="J19" s="43" t="s">
        <v>33</v>
      </c>
      <c r="K19" s="2"/>
      <c r="L19" s="45" t="s">
        <v>29</v>
      </c>
      <c r="M19" s="45" t="s">
        <v>34</v>
      </c>
      <c r="N19" s="45" t="s">
        <v>19</v>
      </c>
      <c r="O19" s="46" t="s">
        <v>31</v>
      </c>
    </row>
    <row r="20" spans="2:23" x14ac:dyDescent="0.3">
      <c r="B20" s="28"/>
      <c r="C20" s="418"/>
      <c r="D20" s="418"/>
      <c r="E20" s="12"/>
      <c r="F20" s="4" t="s">
        <v>5</v>
      </c>
      <c r="G20" s="166">
        <v>0.57999999999999996</v>
      </c>
      <c r="H20" s="205">
        <v>0.6</v>
      </c>
      <c r="I20" s="203">
        <v>0.51</v>
      </c>
      <c r="J20" s="237">
        <v>0.15</v>
      </c>
      <c r="K20" s="2"/>
      <c r="L20" s="4" t="s">
        <v>27</v>
      </c>
      <c r="M20" s="4" t="s">
        <v>35</v>
      </c>
      <c r="N20" s="4" t="s">
        <v>20</v>
      </c>
      <c r="O20" s="39">
        <v>43139</v>
      </c>
      <c r="Q20" s="9"/>
      <c r="R20" s="2"/>
      <c r="S20" s="2"/>
    </row>
    <row r="21" spans="2:23" s="52" customFormat="1" x14ac:dyDescent="0.3">
      <c r="B21" s="28"/>
      <c r="C21" s="418"/>
      <c r="D21" s="418"/>
      <c r="E21" s="47"/>
      <c r="F21" s="4" t="s">
        <v>6</v>
      </c>
      <c r="G21" s="166">
        <v>0.31</v>
      </c>
      <c r="H21" s="201">
        <v>0.28000000000000003</v>
      </c>
      <c r="I21" s="201">
        <v>0.37</v>
      </c>
      <c r="J21" s="237">
        <v>7.0000000000000007E-2</v>
      </c>
      <c r="K21" s="2"/>
      <c r="L21" s="4" t="s">
        <v>28</v>
      </c>
      <c r="M21" s="4" t="s">
        <v>36</v>
      </c>
      <c r="N21" s="41" t="s">
        <v>30</v>
      </c>
      <c r="O21" s="39">
        <v>43118</v>
      </c>
      <c r="Q21" s="55"/>
      <c r="R21" s="53"/>
      <c r="S21" s="53"/>
    </row>
    <row r="22" spans="2:23" s="52" customFormat="1" x14ac:dyDescent="0.3">
      <c r="B22" s="28"/>
      <c r="C22" s="418"/>
      <c r="D22" s="418"/>
      <c r="E22" s="47"/>
      <c r="F22" s="4" t="s">
        <v>7</v>
      </c>
      <c r="G22" s="166">
        <v>8.8999999999999996E-2</v>
      </c>
      <c r="H22" s="201">
        <v>0.11</v>
      </c>
      <c r="I22" s="201">
        <v>0.06</v>
      </c>
      <c r="J22" s="237">
        <v>0</v>
      </c>
      <c r="K22" s="2"/>
      <c r="L22" s="17" t="s">
        <v>135</v>
      </c>
      <c r="M22" s="52" t="s">
        <v>111</v>
      </c>
      <c r="N22" s="41" t="s">
        <v>112</v>
      </c>
      <c r="O22" s="39">
        <v>43118</v>
      </c>
      <c r="Q22" s="55"/>
      <c r="R22" s="53"/>
      <c r="S22" s="53"/>
    </row>
    <row r="23" spans="2:23" s="52" customFormat="1" x14ac:dyDescent="0.3">
      <c r="B23" s="28"/>
      <c r="C23" s="418"/>
      <c r="D23" s="418"/>
      <c r="E23" s="47"/>
      <c r="F23" s="4" t="s">
        <v>8</v>
      </c>
      <c r="G23" s="166">
        <v>0.02</v>
      </c>
      <c r="H23" s="201">
        <v>0.01</v>
      </c>
      <c r="I23" s="201">
        <v>0.06</v>
      </c>
      <c r="J23" s="237">
        <v>-7.0000000000000007E-2</v>
      </c>
      <c r="K23" s="2"/>
      <c r="L23" s="4"/>
      <c r="M23" s="4"/>
      <c r="N23" s="4"/>
      <c r="O23" s="1"/>
      <c r="Q23" s="55"/>
      <c r="R23" s="53"/>
      <c r="S23" s="53"/>
    </row>
    <row r="24" spans="2:23" x14ac:dyDescent="0.3">
      <c r="B24" s="28"/>
      <c r="C24" s="418"/>
      <c r="D24" s="418"/>
      <c r="E24" s="34"/>
      <c r="F24" s="13" t="s">
        <v>9</v>
      </c>
      <c r="G24" s="166">
        <v>0</v>
      </c>
      <c r="H24" s="201">
        <v>0</v>
      </c>
      <c r="I24" s="203">
        <v>0</v>
      </c>
      <c r="J24" s="238">
        <v>-0.15</v>
      </c>
      <c r="K24" s="2"/>
      <c r="O24" s="1"/>
      <c r="Q24" s="9"/>
      <c r="R24" s="2"/>
      <c r="S24" s="2"/>
    </row>
    <row r="25" spans="2:23" ht="16.5" customHeight="1" x14ac:dyDescent="0.3">
      <c r="D25" s="29"/>
      <c r="E25" s="34"/>
      <c r="P25" s="17"/>
      <c r="Q25" s="9"/>
      <c r="R25" s="2"/>
      <c r="S25" s="2"/>
    </row>
    <row r="26" spans="2:23" ht="107.25" customHeight="1" x14ac:dyDescent="0.3">
      <c r="B26" s="28">
        <v>2</v>
      </c>
      <c r="C26" s="435" t="s">
        <v>247</v>
      </c>
      <c r="D26" s="435"/>
      <c r="E26" s="35"/>
      <c r="F26" s="105" t="s">
        <v>136</v>
      </c>
      <c r="G26" s="105" t="s">
        <v>142</v>
      </c>
      <c r="H26" s="105" t="s">
        <v>137</v>
      </c>
      <c r="I26" s="4"/>
      <c r="N26" s="2"/>
      <c r="O26" s="2"/>
      <c r="Q26" s="9"/>
      <c r="R26" s="2"/>
      <c r="S26" s="2"/>
    </row>
    <row r="27" spans="2:23" x14ac:dyDescent="0.3">
      <c r="B27" s="28"/>
      <c r="C27" s="435"/>
      <c r="D27" s="435"/>
      <c r="F27" s="220" t="s">
        <v>138</v>
      </c>
      <c r="G27" s="219">
        <v>1000</v>
      </c>
      <c r="H27" s="221">
        <v>0.7</v>
      </c>
      <c r="I27" s="4"/>
      <c r="L27" s="4" t="s">
        <v>249</v>
      </c>
      <c r="N27" s="2"/>
      <c r="O27" s="2"/>
      <c r="Q27" s="9"/>
      <c r="R27" s="2"/>
      <c r="S27" s="2"/>
      <c r="T27" s="2"/>
      <c r="U27" s="2"/>
      <c r="V27" s="2"/>
      <c r="W27" s="2"/>
    </row>
    <row r="28" spans="2:23" ht="17.25" thickBot="1" x14ac:dyDescent="0.35">
      <c r="B28" s="28"/>
      <c r="C28" s="435"/>
      <c r="D28" s="435"/>
      <c r="E28" s="4"/>
      <c r="F28" s="224" t="s">
        <v>139</v>
      </c>
      <c r="G28" s="224">
        <v>1000</v>
      </c>
      <c r="H28" s="242">
        <v>0.8</v>
      </c>
      <c r="I28" s="4"/>
      <c r="K28" s="52"/>
      <c r="L28" s="52" t="s">
        <v>250</v>
      </c>
      <c r="M28" s="107"/>
      <c r="N28" s="2"/>
      <c r="O28" s="2"/>
      <c r="Q28" s="9"/>
      <c r="R28" s="2"/>
      <c r="S28" s="2"/>
      <c r="T28" s="2"/>
      <c r="U28" s="2"/>
      <c r="V28" s="2"/>
      <c r="W28" s="2"/>
    </row>
    <row r="29" spans="2:23" ht="17.25" thickTop="1" x14ac:dyDescent="0.3">
      <c r="B29" s="28"/>
      <c r="C29" s="435"/>
      <c r="D29" s="435"/>
      <c r="F29" s="169" t="s">
        <v>57</v>
      </c>
      <c r="G29" s="52">
        <f>SUM(G27:G28)</f>
        <v>2000</v>
      </c>
      <c r="H29" s="175">
        <f>SUMPRODUCT(G27:G28,H27:H28)/SUM(G27:G28)</f>
        <v>0.75</v>
      </c>
      <c r="M29" s="1"/>
      <c r="N29" s="2"/>
      <c r="O29" s="2"/>
      <c r="Q29" s="9"/>
      <c r="R29" s="2"/>
      <c r="S29" s="2"/>
      <c r="T29" s="2"/>
      <c r="U29" s="2"/>
      <c r="V29" s="2"/>
      <c r="W29" s="2"/>
    </row>
    <row r="30" spans="2:23" ht="28.5" customHeight="1" x14ac:dyDescent="0.3">
      <c r="B30" s="28"/>
      <c r="C30" s="435"/>
      <c r="D30" s="435"/>
      <c r="J30" s="52"/>
      <c r="K30" s="52"/>
      <c r="L30" s="52"/>
      <c r="M30" s="53"/>
      <c r="N30" s="53"/>
      <c r="O30" s="2"/>
      <c r="T30" s="2"/>
      <c r="U30" s="2"/>
      <c r="V30" s="2"/>
      <c r="W30" s="2"/>
    </row>
    <row r="31" spans="2:23" x14ac:dyDescent="0.3">
      <c r="J31" s="52"/>
      <c r="K31" s="52"/>
      <c r="L31" s="52"/>
      <c r="M31" s="53"/>
      <c r="N31" s="53"/>
      <c r="O31" s="2"/>
      <c r="T31" s="2"/>
      <c r="U31" s="2"/>
      <c r="V31" s="2"/>
      <c r="W31" s="2"/>
    </row>
    <row r="32" spans="2:23" ht="16.5" customHeight="1" x14ac:dyDescent="0.3">
      <c r="B32" s="28">
        <v>3</v>
      </c>
      <c r="C32" s="434" t="s">
        <v>338</v>
      </c>
      <c r="D32" s="434"/>
      <c r="F32" s="15" t="s">
        <v>251</v>
      </c>
      <c r="G32" s="8"/>
      <c r="H32" s="8"/>
      <c r="J32" s="52"/>
      <c r="K32" s="52"/>
      <c r="L32" s="52"/>
      <c r="M32" s="53"/>
      <c r="N32" s="53"/>
      <c r="O32" s="2"/>
      <c r="T32" s="2"/>
      <c r="U32" s="2"/>
      <c r="V32" s="2"/>
      <c r="W32" s="2"/>
    </row>
    <row r="33" spans="2:23" x14ac:dyDescent="0.3">
      <c r="B33" s="28"/>
      <c r="C33" s="434"/>
      <c r="D33" s="434"/>
      <c r="F33" s="243">
        <f>SUMPRODUCT(G20:G24,J20:J24)*H29</f>
        <v>8.0474999999999991E-2</v>
      </c>
      <c r="G33" s="4" t="s">
        <v>146</v>
      </c>
      <c r="M33" s="2"/>
      <c r="N33" s="2"/>
      <c r="O33" s="2"/>
      <c r="Q33" s="2"/>
      <c r="R33" s="2"/>
      <c r="T33" s="2"/>
      <c r="U33" s="2"/>
      <c r="V33" s="2"/>
      <c r="W33" s="2"/>
    </row>
    <row r="34" spans="2:23" x14ac:dyDescent="0.3">
      <c r="B34" s="28"/>
      <c r="C34" s="434"/>
      <c r="D34" s="434"/>
      <c r="F34" s="244">
        <f>((SUMPRODUCT(H20:H24,J20:J24)*H28*G28)+(SUMPRODUCT(I20:I24,J20:J24)*H27*G27))/G29</f>
        <v>7.7930000000000013E-2</v>
      </c>
      <c r="G34" s="4" t="s">
        <v>147</v>
      </c>
      <c r="Q34" s="22"/>
      <c r="R34" s="2"/>
      <c r="T34" s="2"/>
      <c r="U34" s="2"/>
      <c r="V34" s="2"/>
      <c r="W34" s="2"/>
    </row>
    <row r="35" spans="2:23" ht="16.5" customHeight="1" x14ac:dyDescent="0.3">
      <c r="B35" s="28"/>
      <c r="C35" s="434"/>
      <c r="D35" s="434"/>
      <c r="Q35" s="2"/>
      <c r="R35" s="2"/>
      <c r="T35" s="2"/>
      <c r="U35" s="2"/>
      <c r="V35" s="2"/>
      <c r="W35" s="2"/>
    </row>
    <row r="36" spans="2:23" ht="16.5" customHeight="1" x14ac:dyDescent="0.3">
      <c r="B36" s="28"/>
      <c r="C36" s="434"/>
      <c r="D36" s="434"/>
      <c r="I36" s="31"/>
      <c r="J36" s="16"/>
      <c r="K36" s="16"/>
      <c r="L36" s="16"/>
      <c r="M36" s="16"/>
      <c r="N36" s="16"/>
      <c r="Q36" s="2"/>
      <c r="R36" s="2"/>
      <c r="T36" s="2"/>
      <c r="U36" s="2"/>
      <c r="V36" s="2"/>
      <c r="W36" s="2"/>
    </row>
    <row r="37" spans="2:23" s="271" customFormat="1" ht="16.5" customHeight="1" x14ac:dyDescent="0.3">
      <c r="B37" s="353"/>
      <c r="C37" s="434"/>
      <c r="D37" s="434"/>
      <c r="E37" s="185"/>
      <c r="I37" s="351"/>
      <c r="J37" s="348"/>
      <c r="K37" s="348"/>
      <c r="L37" s="348"/>
      <c r="M37" s="348"/>
      <c r="N37" s="348"/>
      <c r="Q37" s="185"/>
      <c r="R37" s="185"/>
      <c r="T37" s="185"/>
      <c r="U37" s="185"/>
      <c r="V37" s="185"/>
      <c r="W37" s="185"/>
    </row>
    <row r="38" spans="2:23" x14ac:dyDescent="0.3">
      <c r="B38" s="28"/>
      <c r="C38" s="434"/>
      <c r="D38" s="434"/>
      <c r="I38" s="31"/>
      <c r="J38" s="16"/>
      <c r="K38" s="16"/>
      <c r="L38" s="16"/>
      <c r="M38" s="16"/>
      <c r="N38" s="16"/>
      <c r="Q38" s="2"/>
      <c r="R38" s="2"/>
      <c r="T38" s="2"/>
      <c r="U38" s="2"/>
      <c r="V38" s="2"/>
      <c r="W38" s="2"/>
    </row>
    <row r="39" spans="2:23" x14ac:dyDescent="0.3">
      <c r="I39" s="31"/>
      <c r="K39" s="16"/>
      <c r="L39" s="16"/>
      <c r="M39" s="16"/>
      <c r="N39" s="16"/>
      <c r="O39" s="19"/>
      <c r="Q39" s="2"/>
      <c r="R39" s="2"/>
      <c r="T39" s="2"/>
      <c r="U39" s="2"/>
      <c r="V39" s="2"/>
      <c r="W39" s="2"/>
    </row>
    <row r="40" spans="2:23" ht="16.5" customHeight="1" x14ac:dyDescent="0.3">
      <c r="B40" s="28">
        <v>4</v>
      </c>
      <c r="C40" s="417" t="s">
        <v>339</v>
      </c>
      <c r="D40" s="417"/>
      <c r="F40" s="15" t="s">
        <v>252</v>
      </c>
      <c r="G40" s="15"/>
      <c r="H40" s="15"/>
      <c r="J40" s="24"/>
      <c r="K40" s="24"/>
      <c r="L40" s="24"/>
      <c r="M40" s="24"/>
      <c r="N40" s="24"/>
      <c r="O40" s="24"/>
      <c r="Q40" s="2"/>
      <c r="R40" s="2"/>
      <c r="T40" s="2"/>
      <c r="U40" s="2"/>
      <c r="V40" s="2"/>
      <c r="W40" s="2"/>
    </row>
    <row r="41" spans="2:23" ht="16.5" customHeight="1" x14ac:dyDescent="0.3">
      <c r="B41" s="28"/>
      <c r="C41" s="417"/>
      <c r="D41" s="417"/>
      <c r="F41" s="245">
        <v>400000000</v>
      </c>
      <c r="G41" s="223"/>
      <c r="H41"/>
      <c r="J41" s="171"/>
      <c r="K41" s="171"/>
      <c r="L41" s="171" t="s">
        <v>253</v>
      </c>
      <c r="M41" s="171"/>
      <c r="N41" s="24"/>
      <c r="O41" s="24"/>
      <c r="Q41" s="2"/>
      <c r="R41" s="2"/>
      <c r="T41" s="2"/>
      <c r="U41" s="2"/>
      <c r="V41" s="2"/>
      <c r="W41" s="2"/>
    </row>
    <row r="42" spans="2:23" x14ac:dyDescent="0.3">
      <c r="B42" s="28"/>
      <c r="C42" s="417"/>
      <c r="D42" s="417"/>
      <c r="F42"/>
      <c r="G42"/>
      <c r="H42"/>
      <c r="J42" s="24"/>
      <c r="K42" s="24"/>
      <c r="L42" s="24"/>
      <c r="M42" s="24"/>
      <c r="N42" s="24"/>
      <c r="O42" s="24"/>
    </row>
    <row r="43" spans="2:23" s="271" customFormat="1" ht="17.25" thickBot="1" x14ac:dyDescent="0.35">
      <c r="B43" s="353"/>
      <c r="C43" s="417"/>
      <c r="D43" s="417"/>
      <c r="E43" s="185"/>
      <c r="F43" s="15" t="s">
        <v>200</v>
      </c>
      <c r="G43" s="8"/>
      <c r="H43" s="8"/>
      <c r="I43" s="185"/>
      <c r="J43" s="171"/>
      <c r="K43" s="171"/>
      <c r="L43" s="171"/>
      <c r="M43" s="171"/>
      <c r="N43" s="171"/>
      <c r="O43" s="171"/>
    </row>
    <row r="44" spans="2:23" s="168" customFormat="1" ht="17.25" thickBot="1" x14ac:dyDescent="0.35">
      <c r="B44" s="28"/>
      <c r="C44" s="417"/>
      <c r="D44" s="417"/>
      <c r="E44" s="170"/>
      <c r="F44" s="216">
        <f>F41-F41/(1+F33)</f>
        <v>29792452.393623173</v>
      </c>
      <c r="G44" s="36" t="s">
        <v>17</v>
      </c>
      <c r="H44" s="4"/>
      <c r="J44" s="171"/>
      <c r="K44" s="171"/>
      <c r="L44" s="171"/>
      <c r="M44" s="171"/>
      <c r="N44" s="171"/>
      <c r="O44" s="171"/>
    </row>
    <row r="45" spans="2:23" s="168" customFormat="1" x14ac:dyDescent="0.3">
      <c r="B45" s="222"/>
      <c r="C45" s="208"/>
      <c r="D45" s="208"/>
      <c r="E45" s="170"/>
      <c r="J45" s="171"/>
      <c r="K45" s="171"/>
      <c r="L45" s="171"/>
      <c r="M45" s="171"/>
      <c r="N45" s="171"/>
      <c r="O45" s="171"/>
    </row>
    <row r="46" spans="2:23" s="168" customFormat="1" x14ac:dyDescent="0.3">
      <c r="B46" s="222"/>
      <c r="C46" s="208"/>
      <c r="D46" s="208"/>
      <c r="E46" s="170"/>
      <c r="F46"/>
      <c r="G46"/>
      <c r="H46"/>
      <c r="J46" s="171"/>
      <c r="K46" s="171"/>
      <c r="L46" s="171"/>
      <c r="M46" s="171"/>
      <c r="N46" s="171"/>
      <c r="O46" s="171"/>
    </row>
    <row r="47" spans="2:23" s="168" customFormat="1" x14ac:dyDescent="0.3">
      <c r="B47" s="222"/>
      <c r="C47" s="208"/>
      <c r="D47" s="208"/>
      <c r="E47" s="170"/>
      <c r="F47"/>
      <c r="G47"/>
      <c r="H47"/>
      <c r="J47" s="171"/>
      <c r="K47" s="171"/>
      <c r="L47" s="171"/>
      <c r="M47" s="171"/>
      <c r="N47" s="171"/>
      <c r="O47" s="171"/>
    </row>
    <row r="48" spans="2:23" s="168" customFormat="1" x14ac:dyDescent="0.3">
      <c r="B48" s="222"/>
      <c r="C48" s="208"/>
      <c r="D48" s="208"/>
      <c r="E48" s="170"/>
      <c r="F48"/>
      <c r="G48"/>
      <c r="H48"/>
      <c r="I48" s="171"/>
      <c r="J48" s="171"/>
      <c r="K48" s="171"/>
      <c r="L48" s="171"/>
      <c r="M48" s="171"/>
      <c r="N48" s="171"/>
      <c r="O48" s="171"/>
    </row>
    <row r="49" spans="2:15" x14ac:dyDescent="0.3">
      <c r="B49" s="222"/>
      <c r="C49" s="208"/>
      <c r="D49" s="208"/>
      <c r="J49" s="23"/>
      <c r="K49" s="23"/>
      <c r="L49" s="23"/>
      <c r="M49" s="23"/>
      <c r="N49" s="23"/>
      <c r="O49" s="24"/>
    </row>
    <row r="50" spans="2:15" ht="16.5" customHeight="1" x14ac:dyDescent="0.3">
      <c r="F50" s="16"/>
      <c r="G50" s="21"/>
      <c r="H50" s="21"/>
      <c r="J50" s="23"/>
      <c r="K50" s="23"/>
      <c r="L50" s="23"/>
      <c r="M50" s="23"/>
      <c r="N50" s="23"/>
      <c r="O50" s="24"/>
    </row>
    <row r="51" spans="2:15" x14ac:dyDescent="0.3">
      <c r="B51" s="4"/>
      <c r="C51" s="4"/>
    </row>
    <row r="52" spans="2:15" x14ac:dyDescent="0.3">
      <c r="B52" s="4"/>
      <c r="C52" s="4"/>
    </row>
  </sheetData>
  <mergeCells count="10">
    <mergeCell ref="C40:D44"/>
    <mergeCell ref="C16:M16"/>
    <mergeCell ref="B11:O13"/>
    <mergeCell ref="H2:J2"/>
    <mergeCell ref="H3:J3"/>
    <mergeCell ref="H4:J4"/>
    <mergeCell ref="H5:J5"/>
    <mergeCell ref="C32:D38"/>
    <mergeCell ref="C19:D24"/>
    <mergeCell ref="C26:D30"/>
  </mergeCells>
  <hyperlinks>
    <hyperlink ref="N21" r:id="rId1" xr:uid="{00000000-0004-0000-0100-000000000000}"/>
    <hyperlink ref="N22"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Y84"/>
  <sheetViews>
    <sheetView topLeftCell="A22" zoomScale="55" zoomScaleNormal="55" zoomScaleSheetLayoutView="100" workbookViewId="0">
      <selection activeCell="A66" sqref="A66:XFD66"/>
    </sheetView>
  </sheetViews>
  <sheetFormatPr defaultRowHeight="16.5" x14ac:dyDescent="0.3"/>
  <cols>
    <col min="1" max="1" width="3.5" style="20" customWidth="1"/>
    <col min="2" max="2" width="3.125" style="122" customWidth="1"/>
    <col min="3" max="3" width="24.125" style="20" customWidth="1"/>
    <col min="4" max="4" width="56.875" style="20" customWidth="1"/>
    <col min="5" max="5" width="1.625" style="123" customWidth="1"/>
    <col min="6" max="6" width="22.125" style="20" customWidth="1"/>
    <col min="7" max="7" width="14.875" style="20" customWidth="1"/>
    <col min="8" max="8" width="18.25" style="20" customWidth="1"/>
    <col min="9" max="9" width="17.25" style="206" customWidth="1"/>
    <col min="10" max="10" width="29.625" style="206" customWidth="1"/>
    <col min="11" max="11" width="1.75" style="123" customWidth="1"/>
    <col min="12" max="12" width="15.375" style="20" customWidth="1"/>
    <col min="13" max="14" width="11.25" style="20" customWidth="1"/>
    <col min="15" max="15" width="11" style="20" customWidth="1"/>
    <col min="16" max="20" width="9" style="20"/>
    <col min="21" max="21" width="14.125" style="20" customWidth="1"/>
    <col min="22" max="16384" width="9" style="20"/>
  </cols>
  <sheetData>
    <row r="1" spans="2:15" x14ac:dyDescent="0.3">
      <c r="K1" s="20"/>
    </row>
    <row r="2" spans="2:15" x14ac:dyDescent="0.3">
      <c r="C2" s="26" t="s">
        <v>10</v>
      </c>
      <c r="D2" s="108" t="s">
        <v>15</v>
      </c>
      <c r="E2" s="74"/>
      <c r="K2" s="20"/>
      <c r="L2" s="26" t="s">
        <v>23</v>
      </c>
      <c r="M2" s="427" t="s">
        <v>140</v>
      </c>
      <c r="N2" s="427"/>
      <c r="O2" s="427"/>
    </row>
    <row r="3" spans="2:15" x14ac:dyDescent="0.3">
      <c r="C3" s="26" t="s">
        <v>11</v>
      </c>
      <c r="D3" s="165" t="s">
        <v>248</v>
      </c>
      <c r="K3" s="20"/>
      <c r="M3" s="441" t="s">
        <v>13</v>
      </c>
      <c r="N3" s="441"/>
      <c r="O3" s="441"/>
    </row>
    <row r="4" spans="2:15" ht="17.25" thickBot="1" x14ac:dyDescent="0.35">
      <c r="C4" s="26" t="s">
        <v>22</v>
      </c>
      <c r="D4" s="108" t="s">
        <v>32</v>
      </c>
      <c r="K4" s="20"/>
      <c r="M4" s="442" t="s">
        <v>141</v>
      </c>
      <c r="N4" s="442"/>
      <c r="O4" s="442"/>
    </row>
    <row r="5" spans="2:15" ht="17.25" thickBot="1" x14ac:dyDescent="0.35">
      <c r="C5" s="26"/>
      <c r="D5" s="108"/>
      <c r="K5" s="20"/>
      <c r="M5" s="444" t="s">
        <v>55</v>
      </c>
      <c r="N5" s="445"/>
      <c r="O5" s="446"/>
    </row>
    <row r="6" spans="2:15" s="274" customFormat="1" x14ac:dyDescent="0.3">
      <c r="B6" s="122"/>
      <c r="C6" s="207"/>
      <c r="D6" s="32"/>
      <c r="E6" s="227"/>
      <c r="M6" s="303"/>
      <c r="N6" s="303"/>
      <c r="O6" s="303"/>
    </row>
    <row r="7" spans="2:15" s="274" customFormat="1" x14ac:dyDescent="0.3">
      <c r="B7" s="122"/>
      <c r="C7" s="207" t="s">
        <v>215</v>
      </c>
      <c r="D7" s="358">
        <f>I70</f>
        <v>484008.00000000006</v>
      </c>
      <c r="E7" s="227"/>
      <c r="M7" s="303"/>
      <c r="N7" s="303"/>
      <c r="O7" s="303"/>
    </row>
    <row r="8" spans="2:15" ht="82.5" x14ac:dyDescent="0.3">
      <c r="B8" s="124"/>
      <c r="C8" s="73" t="s">
        <v>12</v>
      </c>
      <c r="D8" s="125" t="s">
        <v>149</v>
      </c>
      <c r="E8" s="126"/>
      <c r="F8" s="127"/>
      <c r="G8" s="127"/>
      <c r="H8" s="127"/>
      <c r="I8" s="127"/>
      <c r="J8" s="127"/>
      <c r="K8" s="127"/>
      <c r="L8" s="127"/>
      <c r="M8" s="127"/>
      <c r="N8" s="127"/>
      <c r="O8" s="127"/>
    </row>
    <row r="9" spans="2:15" x14ac:dyDescent="0.3">
      <c r="K9" s="20"/>
    </row>
    <row r="10" spans="2:15" x14ac:dyDescent="0.3">
      <c r="B10" s="27" t="s">
        <v>14</v>
      </c>
      <c r="C10" s="128"/>
      <c r="D10" s="128"/>
      <c r="E10" s="128"/>
      <c r="F10" s="128"/>
      <c r="G10" s="128"/>
      <c r="H10" s="128"/>
      <c r="I10" s="228"/>
      <c r="J10" s="228"/>
      <c r="K10" s="128"/>
      <c r="L10" s="128"/>
      <c r="M10" s="128"/>
      <c r="N10" s="128"/>
      <c r="O10" s="128"/>
    </row>
    <row r="11" spans="2:15" ht="16.5" customHeight="1" x14ac:dyDescent="0.3">
      <c r="B11" s="417" t="s">
        <v>344</v>
      </c>
      <c r="C11" s="417"/>
      <c r="D11" s="417"/>
      <c r="E11" s="417"/>
      <c r="F11" s="417"/>
      <c r="G11" s="417"/>
      <c r="H11" s="417"/>
      <c r="I11" s="417"/>
      <c r="J11" s="417"/>
      <c r="K11" s="417"/>
      <c r="L11" s="417"/>
      <c r="M11" s="417"/>
      <c r="N11" s="417"/>
      <c r="O11" s="417"/>
    </row>
    <row r="12" spans="2:15" ht="16.5" customHeight="1" x14ac:dyDescent="0.3">
      <c r="B12" s="417"/>
      <c r="C12" s="417"/>
      <c r="D12" s="417"/>
      <c r="E12" s="417"/>
      <c r="F12" s="417"/>
      <c r="G12" s="417"/>
      <c r="H12" s="417"/>
      <c r="I12" s="417"/>
      <c r="J12" s="417"/>
      <c r="K12" s="417"/>
      <c r="L12" s="417"/>
      <c r="M12" s="417"/>
      <c r="N12" s="417"/>
      <c r="O12" s="417"/>
    </row>
    <row r="13" spans="2:15" ht="16.5" customHeight="1" x14ac:dyDescent="0.3">
      <c r="B13" s="417"/>
      <c r="C13" s="417"/>
      <c r="D13" s="417"/>
      <c r="E13" s="417"/>
      <c r="F13" s="417"/>
      <c r="G13" s="417"/>
      <c r="H13" s="417"/>
      <c r="I13" s="417"/>
      <c r="J13" s="417"/>
      <c r="K13" s="417"/>
      <c r="L13" s="417"/>
      <c r="M13" s="417"/>
      <c r="N13" s="417"/>
      <c r="O13" s="417"/>
    </row>
    <row r="14" spans="2:15" ht="16.5" customHeight="1" x14ac:dyDescent="0.3">
      <c r="B14" s="417"/>
      <c r="C14" s="417"/>
      <c r="D14" s="417"/>
      <c r="E14" s="417"/>
      <c r="F14" s="417"/>
      <c r="G14" s="417"/>
      <c r="H14" s="417"/>
      <c r="I14" s="417"/>
      <c r="J14" s="417"/>
      <c r="K14" s="417"/>
      <c r="L14" s="417"/>
      <c r="M14" s="417"/>
      <c r="N14" s="417"/>
      <c r="O14" s="417"/>
    </row>
    <row r="15" spans="2:15" x14ac:dyDescent="0.3">
      <c r="B15" s="417"/>
      <c r="C15" s="417"/>
      <c r="D15" s="417"/>
      <c r="E15" s="417"/>
      <c r="F15" s="417"/>
      <c r="G15" s="417"/>
      <c r="H15" s="417"/>
      <c r="I15" s="417"/>
      <c r="J15" s="417"/>
      <c r="K15" s="417"/>
      <c r="L15" s="417"/>
      <c r="M15" s="417"/>
      <c r="N15" s="417"/>
      <c r="O15" s="417"/>
    </row>
    <row r="16" spans="2:15" x14ac:dyDescent="0.3">
      <c r="B16" s="417"/>
      <c r="C16" s="417"/>
      <c r="D16" s="417"/>
      <c r="E16" s="417"/>
      <c r="F16" s="417"/>
      <c r="G16" s="417"/>
      <c r="H16" s="417"/>
      <c r="I16" s="417"/>
      <c r="J16" s="417"/>
      <c r="K16" s="417"/>
      <c r="L16" s="417"/>
      <c r="M16" s="417"/>
      <c r="N16" s="417"/>
      <c r="O16" s="417"/>
    </row>
    <row r="17" spans="2:21" x14ac:dyDescent="0.3">
      <c r="B17" s="117"/>
      <c r="C17" s="117"/>
      <c r="D17" s="117"/>
      <c r="E17" s="117"/>
      <c r="F17" s="117"/>
      <c r="G17" s="117"/>
      <c r="H17" s="117"/>
      <c r="I17" s="226"/>
      <c r="J17" s="226"/>
      <c r="K17" s="117"/>
      <c r="L17" s="117"/>
      <c r="M17" s="117"/>
      <c r="N17" s="117"/>
      <c r="O17" s="117"/>
    </row>
    <row r="18" spans="2:21" x14ac:dyDescent="0.3">
      <c r="B18" s="27" t="s">
        <v>16</v>
      </c>
      <c r="C18" s="128"/>
      <c r="D18" s="128"/>
      <c r="E18" s="128"/>
      <c r="F18" s="128"/>
      <c r="G18" s="128"/>
      <c r="H18" s="128"/>
      <c r="I18" s="228"/>
      <c r="J18" s="228"/>
      <c r="K18" s="128"/>
      <c r="L18" s="128"/>
      <c r="M18" s="128"/>
      <c r="N18" s="128"/>
      <c r="O18" s="128"/>
    </row>
    <row r="19" spans="2:21" x14ac:dyDescent="0.3">
      <c r="B19" s="129">
        <v>1</v>
      </c>
      <c r="C19" s="425" t="s">
        <v>341</v>
      </c>
      <c r="D19" s="443"/>
      <c r="E19" s="443"/>
      <c r="F19" s="443"/>
      <c r="G19" s="443"/>
      <c r="H19" s="443"/>
      <c r="I19" s="443"/>
      <c r="J19" s="443"/>
      <c r="K19" s="443"/>
      <c r="L19" s="443"/>
      <c r="M19" s="443"/>
      <c r="N19" s="443"/>
      <c r="O19" s="443"/>
    </row>
    <row r="20" spans="2:21" x14ac:dyDescent="0.3">
      <c r="K20" s="20"/>
    </row>
    <row r="21" spans="2:21" x14ac:dyDescent="0.3">
      <c r="B21" s="27" t="s">
        <v>26</v>
      </c>
      <c r="C21" s="128"/>
      <c r="D21" s="128"/>
      <c r="F21" s="25" t="s">
        <v>25</v>
      </c>
      <c r="G21" s="128"/>
      <c r="H21" s="128"/>
      <c r="I21" s="228"/>
      <c r="J21" s="228"/>
      <c r="L21" s="25" t="s">
        <v>24</v>
      </c>
      <c r="M21" s="25"/>
      <c r="N21" s="25"/>
      <c r="O21" s="128"/>
    </row>
    <row r="22" spans="2:21" ht="62.25" customHeight="1" x14ac:dyDescent="0.3">
      <c r="B22" s="129">
        <v>1</v>
      </c>
      <c r="C22" s="436" t="s">
        <v>345</v>
      </c>
      <c r="D22" s="436"/>
      <c r="F22" s="42" t="s">
        <v>116</v>
      </c>
      <c r="G22" s="118" t="s">
        <v>143</v>
      </c>
      <c r="H22" s="212" t="s">
        <v>150</v>
      </c>
      <c r="I22" s="212" t="s">
        <v>151</v>
      </c>
      <c r="J22" s="42" t="s">
        <v>342</v>
      </c>
      <c r="L22" s="45" t="s">
        <v>29</v>
      </c>
      <c r="M22" s="45" t="s">
        <v>34</v>
      </c>
      <c r="N22" s="45" t="s">
        <v>19</v>
      </c>
      <c r="O22" s="46" t="s">
        <v>31</v>
      </c>
      <c r="P22" s="123"/>
      <c r="Q22" s="123"/>
    </row>
    <row r="23" spans="2:21" x14ac:dyDescent="0.3">
      <c r="B23" s="129"/>
      <c r="C23" s="436"/>
      <c r="D23" s="436"/>
      <c r="E23" s="130"/>
      <c r="F23" s="131" t="s">
        <v>39</v>
      </c>
      <c r="G23" s="172">
        <v>4.4999999999999998E-2</v>
      </c>
      <c r="H23" s="205">
        <v>0.03</v>
      </c>
      <c r="I23" s="247">
        <v>7.0000000000000007E-2</v>
      </c>
      <c r="J23" s="241">
        <v>1</v>
      </c>
      <c r="L23" s="20" t="s">
        <v>37</v>
      </c>
      <c r="M23" s="20" t="s">
        <v>0</v>
      </c>
      <c r="N23" s="41" t="s">
        <v>128</v>
      </c>
      <c r="O23" s="133">
        <v>43119</v>
      </c>
      <c r="P23" s="123"/>
      <c r="Q23" s="123"/>
      <c r="S23" s="134"/>
      <c r="T23" s="123"/>
      <c r="U23" s="123"/>
    </row>
    <row r="24" spans="2:21" x14ac:dyDescent="0.3">
      <c r="B24" s="129"/>
      <c r="C24" s="436"/>
      <c r="D24" s="436"/>
      <c r="E24" s="130"/>
      <c r="F24" s="131" t="s">
        <v>40</v>
      </c>
      <c r="G24" s="172">
        <v>0.33</v>
      </c>
      <c r="H24" s="205">
        <v>0.23</v>
      </c>
      <c r="I24" s="247">
        <v>0.34</v>
      </c>
      <c r="J24" s="241">
        <v>0.33</v>
      </c>
      <c r="L24" s="271" t="s">
        <v>27</v>
      </c>
      <c r="M24" s="271" t="s">
        <v>35</v>
      </c>
      <c r="N24" s="271" t="s">
        <v>20</v>
      </c>
      <c r="O24" s="39">
        <v>43139</v>
      </c>
      <c r="P24" s="123"/>
      <c r="Q24" s="123"/>
      <c r="S24" s="134"/>
      <c r="T24" s="123"/>
      <c r="U24" s="123"/>
    </row>
    <row r="25" spans="2:21" x14ac:dyDescent="0.3">
      <c r="B25" s="129"/>
      <c r="C25" s="436"/>
      <c r="D25" s="436"/>
      <c r="E25" s="130"/>
      <c r="F25" s="131" t="s">
        <v>41</v>
      </c>
      <c r="G25" s="172">
        <v>0.60699999999999998</v>
      </c>
      <c r="H25" s="205">
        <v>0.74</v>
      </c>
      <c r="I25" s="247">
        <v>0.56999999999999995</v>
      </c>
      <c r="J25" s="241">
        <v>0</v>
      </c>
      <c r="N25" s="132"/>
      <c r="O25" s="133"/>
      <c r="P25" s="123"/>
      <c r="Q25" s="123"/>
      <c r="S25" s="134"/>
      <c r="T25" s="123"/>
      <c r="U25" s="123"/>
    </row>
    <row r="26" spans="2:21" x14ac:dyDescent="0.3">
      <c r="B26" s="129"/>
      <c r="C26" s="436"/>
      <c r="D26" s="436"/>
      <c r="E26" s="130"/>
      <c r="F26" s="131" t="s">
        <v>42</v>
      </c>
      <c r="G26" s="172">
        <v>8.9999999999999993E-3</v>
      </c>
      <c r="H26" s="205">
        <v>0</v>
      </c>
      <c r="I26" s="247">
        <v>0.01</v>
      </c>
      <c r="J26" s="241">
        <v>0</v>
      </c>
      <c r="N26" s="132"/>
      <c r="O26" s="133"/>
      <c r="P26" s="123"/>
      <c r="Q26" s="123"/>
      <c r="S26" s="134"/>
      <c r="T26" s="123"/>
      <c r="U26" s="123"/>
    </row>
    <row r="27" spans="2:21" ht="17.25" thickBot="1" x14ac:dyDescent="0.35">
      <c r="B27" s="129"/>
      <c r="C27" s="436"/>
      <c r="D27" s="436"/>
      <c r="E27" s="130"/>
      <c r="F27" s="135" t="s">
        <v>43</v>
      </c>
      <c r="G27" s="59">
        <v>0.01</v>
      </c>
      <c r="H27" s="215">
        <v>0</v>
      </c>
      <c r="I27" s="248">
        <v>0.01</v>
      </c>
      <c r="J27" s="246">
        <v>0</v>
      </c>
      <c r="N27" s="132"/>
      <c r="O27" s="133"/>
      <c r="P27" s="123"/>
      <c r="Q27" s="123"/>
      <c r="S27" s="134"/>
      <c r="T27" s="123"/>
      <c r="U27" s="123"/>
    </row>
    <row r="28" spans="2:21" ht="17.25" thickTop="1" x14ac:dyDescent="0.3">
      <c r="B28" s="129"/>
      <c r="C28" s="436"/>
      <c r="D28" s="436"/>
      <c r="E28" s="130"/>
      <c r="G28" s="40"/>
      <c r="H28" s="40"/>
      <c r="I28" s="209"/>
      <c r="J28" s="209"/>
      <c r="N28" s="132"/>
      <c r="O28" s="133"/>
      <c r="P28" s="123"/>
      <c r="Q28" s="123"/>
      <c r="S28" s="134"/>
      <c r="T28" s="123"/>
      <c r="U28" s="123"/>
    </row>
    <row r="29" spans="2:21" x14ac:dyDescent="0.3">
      <c r="B29" s="129"/>
      <c r="C29" s="436"/>
      <c r="D29" s="436"/>
      <c r="E29" s="130"/>
      <c r="F29" s="63" t="s">
        <v>129</v>
      </c>
      <c r="G29" s="42"/>
      <c r="H29" s="42"/>
      <c r="I29" s="211"/>
      <c r="J29" s="211"/>
      <c r="N29" s="132"/>
      <c r="O29" s="133"/>
      <c r="P29" s="123"/>
      <c r="Q29" s="123"/>
      <c r="S29" s="134"/>
      <c r="T29" s="123"/>
      <c r="U29" s="123"/>
    </row>
    <row r="30" spans="2:21" s="206" customFormat="1" x14ac:dyDescent="0.3">
      <c r="B30" s="229"/>
      <c r="C30" s="436"/>
      <c r="D30" s="436"/>
      <c r="E30" s="230"/>
      <c r="F30" s="206" t="s">
        <v>139</v>
      </c>
      <c r="G30">
        <v>200</v>
      </c>
      <c r="H30"/>
      <c r="I30" s="200"/>
      <c r="J30" s="200"/>
      <c r="K30" s="227"/>
      <c r="L30" s="206" t="s">
        <v>261</v>
      </c>
      <c r="N30" s="250"/>
      <c r="O30" s="232"/>
      <c r="P30" s="227" t="s">
        <v>243</v>
      </c>
      <c r="Q30" s="227"/>
      <c r="S30" s="233"/>
      <c r="T30" s="227"/>
      <c r="U30" s="227"/>
    </row>
    <row r="31" spans="2:21" s="206" customFormat="1" ht="17.25" thickBot="1" x14ac:dyDescent="0.35">
      <c r="B31" s="229"/>
      <c r="C31" s="436"/>
      <c r="D31" s="436"/>
      <c r="E31" s="230"/>
      <c r="F31" s="236" t="s">
        <v>138</v>
      </c>
      <c r="G31" s="167">
        <v>200</v>
      </c>
      <c r="H31"/>
      <c r="I31" s="200"/>
      <c r="J31" s="200"/>
      <c r="K31" s="227"/>
      <c r="L31" s="230" t="s">
        <v>154</v>
      </c>
      <c r="M31" s="217" t="s">
        <v>155</v>
      </c>
      <c r="N31" s="210" t="s">
        <v>156</v>
      </c>
      <c r="O31" s="218">
        <v>39569</v>
      </c>
      <c r="P31" s="227" t="s">
        <v>243</v>
      </c>
      <c r="Q31" s="227"/>
      <c r="S31" s="233"/>
      <c r="T31" s="227"/>
      <c r="U31" s="227"/>
    </row>
    <row r="32" spans="2:21" ht="17.25" thickTop="1" x14ac:dyDescent="0.3">
      <c r="B32" s="129"/>
      <c r="C32" s="436"/>
      <c r="D32" s="436"/>
      <c r="E32" s="130"/>
      <c r="F32" s="206" t="s">
        <v>57</v>
      </c>
      <c r="G32">
        <f>SUM(G30:G31)</f>
        <v>400</v>
      </c>
      <c r="H32"/>
      <c r="I32" s="200"/>
      <c r="J32" s="200"/>
      <c r="K32"/>
      <c r="L32"/>
      <c r="M32"/>
      <c r="N32"/>
      <c r="O32"/>
      <c r="P32" s="227" t="s">
        <v>243</v>
      </c>
      <c r="Q32" s="123"/>
      <c r="S32" s="134"/>
      <c r="T32" s="123"/>
      <c r="U32" s="123"/>
    </row>
    <row r="33" spans="1:25" x14ac:dyDescent="0.3">
      <c r="B33" s="129"/>
      <c r="C33" s="436"/>
      <c r="D33" s="436"/>
      <c r="E33" s="130"/>
      <c r="N33" s="132"/>
      <c r="O33" s="133"/>
      <c r="P33" s="227" t="s">
        <v>243</v>
      </c>
      <c r="Q33" s="123"/>
      <c r="S33" s="134"/>
      <c r="T33" s="123"/>
      <c r="U33" s="123"/>
    </row>
    <row r="34" spans="1:25" ht="16.5" customHeight="1" x14ac:dyDescent="0.3">
      <c r="B34" s="129"/>
      <c r="C34" s="436"/>
      <c r="D34" s="436"/>
      <c r="E34" s="130"/>
      <c r="F34" s="447" t="s">
        <v>157</v>
      </c>
      <c r="G34" s="447"/>
      <c r="H34" s="447"/>
      <c r="I34" s="447"/>
      <c r="J34" s="447"/>
      <c r="K34" s="173"/>
      <c r="N34" s="132"/>
      <c r="O34" s="133"/>
      <c r="P34" s="227" t="s">
        <v>243</v>
      </c>
      <c r="Q34" s="123"/>
      <c r="S34" s="134"/>
      <c r="T34" s="123"/>
      <c r="U34" s="123"/>
    </row>
    <row r="35" spans="1:25" x14ac:dyDescent="0.3">
      <c r="B35" s="129"/>
      <c r="C35" s="436"/>
      <c r="D35" s="436"/>
      <c r="E35" s="130"/>
      <c r="F35" s="447"/>
      <c r="G35" s="447"/>
      <c r="H35" s="447"/>
      <c r="I35" s="447"/>
      <c r="J35" s="447"/>
      <c r="K35" s="173"/>
      <c r="N35" s="132"/>
      <c r="O35" s="133"/>
      <c r="P35" s="227" t="s">
        <v>243</v>
      </c>
      <c r="Q35" s="123"/>
      <c r="S35" s="134"/>
      <c r="T35" s="123"/>
      <c r="U35" s="123"/>
    </row>
    <row r="36" spans="1:25" s="206" customFormat="1" x14ac:dyDescent="0.3">
      <c r="B36" s="229"/>
      <c r="C36" s="436"/>
      <c r="D36" s="436"/>
      <c r="E36" s="230"/>
      <c r="F36" s="249" t="s">
        <v>136</v>
      </c>
      <c r="G36" s="204" t="s">
        <v>152</v>
      </c>
      <c r="H36" s="204" t="s">
        <v>153</v>
      </c>
      <c r="I36" s="204"/>
      <c r="J36" s="204"/>
      <c r="N36" s="231"/>
      <c r="O36" s="232"/>
      <c r="P36" s="227" t="s">
        <v>243</v>
      </c>
      <c r="Q36" s="227"/>
      <c r="S36" s="233"/>
      <c r="T36" s="227"/>
      <c r="U36" s="227"/>
    </row>
    <row r="37" spans="1:25" x14ac:dyDescent="0.3">
      <c r="B37" s="129"/>
      <c r="C37" s="436"/>
      <c r="D37" s="436"/>
      <c r="E37" s="130"/>
      <c r="F37" s="217" t="s">
        <v>139</v>
      </c>
      <c r="G37" s="239">
        <f>SUMPRODUCT(I23:I27,J23:J27)</f>
        <v>0.18220000000000003</v>
      </c>
      <c r="H37" s="235">
        <f>G37*G30</f>
        <v>36.440000000000005</v>
      </c>
      <c r="K37" s="173"/>
      <c r="N37" s="132"/>
      <c r="O37" s="133"/>
      <c r="P37" s="227" t="s">
        <v>243</v>
      </c>
      <c r="Q37" s="123"/>
      <c r="S37" s="134"/>
      <c r="T37" s="123"/>
      <c r="U37" s="123"/>
    </row>
    <row r="38" spans="1:25" s="206" customFormat="1" ht="17.25" thickBot="1" x14ac:dyDescent="0.35">
      <c r="B38" s="229"/>
      <c r="C38" s="436"/>
      <c r="D38" s="436"/>
      <c r="E38" s="230"/>
      <c r="F38" s="225" t="s">
        <v>138</v>
      </c>
      <c r="G38" s="240">
        <f>SUMPRODUCT(H23:H27,J23:J27)</f>
        <v>0.10590000000000001</v>
      </c>
      <c r="H38" s="251">
        <f>G38*G31</f>
        <v>21.180000000000003</v>
      </c>
      <c r="N38" s="231"/>
      <c r="O38" s="232"/>
      <c r="P38" s="227" t="s">
        <v>243</v>
      </c>
      <c r="Q38" s="227"/>
      <c r="S38" s="233"/>
      <c r="T38" s="227"/>
      <c r="U38" s="227"/>
    </row>
    <row r="39" spans="1:25" ht="17.25" thickTop="1" x14ac:dyDescent="0.3">
      <c r="B39" s="129"/>
      <c r="C39" s="436"/>
      <c r="D39" s="436"/>
      <c r="E39" s="130"/>
      <c r="F39" s="217" t="s">
        <v>57</v>
      </c>
      <c r="G39" s="239">
        <f>SUMPRODUCT(J23:J27,G23:G27)</f>
        <v>0.15390000000000001</v>
      </c>
      <c r="H39" s="235">
        <f>SUM(H37:H38)</f>
        <v>57.620000000000005</v>
      </c>
      <c r="K39" s="173"/>
      <c r="N39" s="132"/>
      <c r="O39" s="133"/>
      <c r="P39" s="227" t="s">
        <v>243</v>
      </c>
      <c r="Q39" s="123"/>
      <c r="S39" s="134"/>
      <c r="T39" s="123"/>
      <c r="U39" s="123"/>
    </row>
    <row r="40" spans="1:25" x14ac:dyDescent="0.3">
      <c r="A40" s="136"/>
      <c r="B40" s="136"/>
      <c r="C40" s="234"/>
      <c r="D40" s="136"/>
      <c r="E40" s="130"/>
      <c r="K40" s="20"/>
      <c r="N40" s="132"/>
      <c r="O40" s="133"/>
      <c r="P40" s="227" t="s">
        <v>243</v>
      </c>
      <c r="Q40" s="123"/>
      <c r="S40" s="134"/>
      <c r="T40" s="123"/>
      <c r="U40" s="123"/>
    </row>
    <row r="41" spans="1:25" ht="66.75" customHeight="1" x14ac:dyDescent="0.3">
      <c r="B41" s="129">
        <v>2</v>
      </c>
      <c r="C41" s="435" t="s">
        <v>262</v>
      </c>
      <c r="D41" s="435"/>
      <c r="F41" s="42" t="s">
        <v>44</v>
      </c>
      <c r="G41" s="42" t="s">
        <v>61</v>
      </c>
      <c r="H41" s="42" t="s">
        <v>62</v>
      </c>
      <c r="I41" s="211"/>
      <c r="J41" s="211"/>
      <c r="L41"/>
      <c r="M41"/>
      <c r="N41"/>
      <c r="O41"/>
      <c r="P41" s="227" t="s">
        <v>243</v>
      </c>
      <c r="Q41"/>
      <c r="R41"/>
      <c r="V41" s="123"/>
      <c r="W41" s="123"/>
      <c r="X41" s="123"/>
      <c r="Y41" s="123"/>
    </row>
    <row r="42" spans="1:25" x14ac:dyDescent="0.3">
      <c r="B42" s="129"/>
      <c r="C42" s="435"/>
      <c r="D42" s="435"/>
      <c r="F42" s="20" t="s">
        <v>53</v>
      </c>
      <c r="G42" s="305">
        <v>0.5</v>
      </c>
      <c r="H42" s="138">
        <f>H$39*G42</f>
        <v>28.810000000000002</v>
      </c>
      <c r="I42" s="233"/>
      <c r="J42" s="233"/>
      <c r="L42"/>
      <c r="M42"/>
      <c r="N42"/>
      <c r="O42"/>
      <c r="P42" s="227" t="s">
        <v>243</v>
      </c>
      <c r="Q42"/>
      <c r="R42"/>
      <c r="V42" s="123"/>
      <c r="W42" s="123"/>
      <c r="X42" s="123"/>
      <c r="Y42" s="123"/>
    </row>
    <row r="43" spans="1:25" x14ac:dyDescent="0.3">
      <c r="B43" s="129"/>
      <c r="C43" s="435"/>
      <c r="D43" s="435"/>
      <c r="F43" s="20" t="s">
        <v>51</v>
      </c>
      <c r="G43" s="305">
        <v>0.2</v>
      </c>
      <c r="H43" s="235">
        <f t="shared" ref="H43:H44" si="0">H$39*G43</f>
        <v>11.524000000000001</v>
      </c>
      <c r="I43" s="233"/>
      <c r="J43" s="233"/>
      <c r="L43"/>
      <c r="M43"/>
      <c r="N43"/>
      <c r="O43"/>
      <c r="P43" s="227" t="s">
        <v>243</v>
      </c>
      <c r="Q43"/>
      <c r="R43"/>
      <c r="V43" s="123"/>
      <c r="W43" s="123"/>
      <c r="X43" s="123"/>
      <c r="Y43" s="123"/>
    </row>
    <row r="44" spans="1:25" ht="16.5" customHeight="1" x14ac:dyDescent="0.3">
      <c r="B44" s="129"/>
      <c r="C44" s="435"/>
      <c r="D44" s="435"/>
      <c r="F44" s="20" t="s">
        <v>52</v>
      </c>
      <c r="G44" s="305">
        <v>0.3</v>
      </c>
      <c r="H44" s="235">
        <f t="shared" si="0"/>
        <v>17.286000000000001</v>
      </c>
      <c r="I44" s="233"/>
      <c r="J44" s="233"/>
      <c r="L44"/>
      <c r="M44"/>
      <c r="N44"/>
      <c r="O44"/>
      <c r="P44" s="227" t="s">
        <v>243</v>
      </c>
      <c r="Q44"/>
      <c r="R44"/>
      <c r="V44" s="123"/>
      <c r="W44" s="123"/>
      <c r="X44" s="123"/>
      <c r="Y44" s="123"/>
    </row>
    <row r="45" spans="1:25" x14ac:dyDescent="0.3">
      <c r="B45" s="129"/>
      <c r="C45" s="435"/>
      <c r="D45" s="435"/>
      <c r="O45" s="123"/>
      <c r="P45" s="227" t="s">
        <v>243</v>
      </c>
      <c r="Q45" s="123"/>
      <c r="S45" s="123"/>
      <c r="T45" s="123"/>
      <c r="V45" s="123"/>
      <c r="W45" s="123"/>
      <c r="X45" s="123"/>
      <c r="Y45" s="123"/>
    </row>
    <row r="46" spans="1:25" x14ac:dyDescent="0.3">
      <c r="B46" s="129"/>
      <c r="C46" s="435"/>
      <c r="D46" s="435"/>
      <c r="P46" s="227" t="s">
        <v>243</v>
      </c>
      <c r="S46" s="139"/>
      <c r="T46" s="123"/>
      <c r="V46" s="123"/>
      <c r="W46" s="123"/>
      <c r="X46" s="123"/>
      <c r="Y46" s="123"/>
    </row>
    <row r="47" spans="1:25" x14ac:dyDescent="0.3">
      <c r="B47" s="129"/>
      <c r="C47" s="435"/>
      <c r="D47" s="435"/>
      <c r="F47" s="173"/>
      <c r="G47" s="173"/>
      <c r="H47" s="173"/>
      <c r="K47" s="173"/>
      <c r="P47" s="227" t="s">
        <v>243</v>
      </c>
      <c r="S47" s="139"/>
      <c r="T47" s="123"/>
      <c r="V47" s="123"/>
      <c r="W47" s="123"/>
      <c r="X47" s="123"/>
      <c r="Y47" s="123"/>
    </row>
    <row r="48" spans="1:25" x14ac:dyDescent="0.3">
      <c r="B48" s="20"/>
      <c r="C48" s="30"/>
      <c r="D48" s="30"/>
      <c r="K48" s="141"/>
      <c r="L48" s="117"/>
      <c r="M48" s="117"/>
      <c r="N48" s="117"/>
      <c r="O48" s="117"/>
      <c r="P48" s="227" t="s">
        <v>243</v>
      </c>
      <c r="S48" s="123"/>
      <c r="T48" s="123"/>
      <c r="V48" s="123"/>
      <c r="W48" s="123"/>
      <c r="X48" s="123"/>
      <c r="Y48" s="123"/>
    </row>
    <row r="49" spans="2:25" ht="16.5" customHeight="1" x14ac:dyDescent="0.3">
      <c r="B49" s="129">
        <v>3</v>
      </c>
      <c r="C49" s="417" t="s">
        <v>263</v>
      </c>
      <c r="D49" s="417"/>
      <c r="F49" s="49" t="s">
        <v>114</v>
      </c>
      <c r="G49" s="50"/>
      <c r="H49" s="50"/>
      <c r="I49" s="213"/>
      <c r="J49" s="213"/>
      <c r="K49" s="141"/>
      <c r="L49" s="117"/>
      <c r="M49" s="117"/>
      <c r="N49" s="117"/>
      <c r="O49" s="117"/>
      <c r="P49" s="227" t="s">
        <v>243</v>
      </c>
      <c r="Q49" s="19"/>
      <c r="S49" s="123"/>
      <c r="T49" s="123"/>
      <c r="V49" s="123"/>
      <c r="W49" s="123"/>
      <c r="X49" s="123"/>
      <c r="Y49" s="123"/>
    </row>
    <row r="50" spans="2:25" ht="16.5" customHeight="1" x14ac:dyDescent="0.3">
      <c r="B50" s="129"/>
      <c r="C50" s="417"/>
      <c r="D50" s="417"/>
      <c r="F50" s="51" t="s">
        <v>1</v>
      </c>
      <c r="K50" s="54"/>
      <c r="L50" s="54"/>
      <c r="M50" s="54"/>
      <c r="N50" s="54"/>
      <c r="O50" s="54"/>
      <c r="P50" s="227" t="s">
        <v>243</v>
      </c>
      <c r="Q50" s="54"/>
      <c r="S50" s="123"/>
      <c r="T50" s="123"/>
      <c r="V50" s="123"/>
      <c r="W50" s="123"/>
      <c r="X50" s="123"/>
      <c r="Y50" s="123"/>
    </row>
    <row r="51" spans="2:25" ht="16.5" customHeight="1" x14ac:dyDescent="0.3">
      <c r="B51" s="129"/>
      <c r="C51" s="417"/>
      <c r="D51" s="417"/>
      <c r="F51" s="44"/>
      <c r="K51" s="54"/>
      <c r="O51" s="54"/>
      <c r="P51" s="227" t="s">
        <v>243</v>
      </c>
      <c r="Q51" s="54"/>
      <c r="S51" s="123"/>
      <c r="T51" s="123"/>
      <c r="V51" s="123"/>
      <c r="W51" s="123"/>
      <c r="X51" s="123"/>
      <c r="Y51" s="123"/>
    </row>
    <row r="52" spans="2:25" x14ac:dyDescent="0.3">
      <c r="B52" s="129"/>
      <c r="C52" s="417"/>
      <c r="D52" s="417"/>
      <c r="F52" s="49" t="s">
        <v>113</v>
      </c>
      <c r="G52" s="50"/>
      <c r="H52" s="50"/>
      <c r="I52" s="213"/>
      <c r="J52" s="213"/>
      <c r="K52"/>
      <c r="L52"/>
      <c r="M52"/>
      <c r="N52"/>
      <c r="O52"/>
      <c r="P52" s="227" t="s">
        <v>243</v>
      </c>
      <c r="Q52" s="54"/>
    </row>
    <row r="53" spans="2:25" x14ac:dyDescent="0.3">
      <c r="B53" s="129"/>
      <c r="C53" s="417"/>
      <c r="D53" s="417"/>
      <c r="F53" s="448" t="s">
        <v>46</v>
      </c>
      <c r="G53" s="448"/>
      <c r="H53" s="255">
        <v>90000</v>
      </c>
      <c r="K53"/>
      <c r="M53"/>
      <c r="N53"/>
      <c r="O53"/>
      <c r="P53" s="227" t="s">
        <v>243</v>
      </c>
      <c r="Q53" s="54"/>
    </row>
    <row r="54" spans="2:25" x14ac:dyDescent="0.3">
      <c r="B54" s="129"/>
      <c r="C54" s="417"/>
      <c r="D54" s="417"/>
      <c r="F54" s="449" t="s">
        <v>45</v>
      </c>
      <c r="G54" s="449"/>
      <c r="H54" s="306">
        <v>0.1</v>
      </c>
      <c r="K54"/>
      <c r="L54"/>
      <c r="M54"/>
      <c r="N54"/>
      <c r="O54"/>
      <c r="P54" s="227" t="s">
        <v>243</v>
      </c>
      <c r="Q54" s="54"/>
    </row>
    <row r="55" spans="2:25" ht="16.5" customHeight="1" x14ac:dyDescent="0.3">
      <c r="B55" s="129"/>
      <c r="C55" s="417"/>
      <c r="D55" s="417"/>
      <c r="F55" s="425" t="s">
        <v>159</v>
      </c>
      <c r="G55" s="425"/>
      <c r="H55" s="143">
        <f>2/12</f>
        <v>0.16666666666666666</v>
      </c>
      <c r="K55"/>
      <c r="L55"/>
      <c r="M55"/>
      <c r="N55"/>
      <c r="O55"/>
      <c r="P55" s="227" t="s">
        <v>243</v>
      </c>
      <c r="Q55" s="54"/>
    </row>
    <row r="56" spans="2:25" ht="16.5" customHeight="1" x14ac:dyDescent="0.3">
      <c r="B56" s="129"/>
      <c r="C56" s="417"/>
      <c r="D56" s="417"/>
      <c r="F56" s="142" t="s">
        <v>54</v>
      </c>
      <c r="H56" s="252">
        <f>H53*H54*H55</f>
        <v>1500</v>
      </c>
      <c r="K56"/>
      <c r="L56"/>
      <c r="M56"/>
      <c r="N56"/>
      <c r="O56"/>
      <c r="P56" s="227" t="s">
        <v>243</v>
      </c>
      <c r="Q56" s="54"/>
    </row>
    <row r="57" spans="2:25" ht="16.5" customHeight="1" x14ac:dyDescent="0.3">
      <c r="B57" s="129"/>
      <c r="C57" s="417"/>
      <c r="D57" s="417"/>
      <c r="F57" s="434"/>
      <c r="G57" s="434"/>
      <c r="H57" s="434"/>
      <c r="I57" s="434"/>
      <c r="J57" s="434"/>
      <c r="L57" s="142"/>
      <c r="M57" s="142"/>
      <c r="N57" s="142"/>
      <c r="O57" s="142"/>
      <c r="P57" s="227" t="s">
        <v>243</v>
      </c>
      <c r="Q57" s="54"/>
    </row>
    <row r="58" spans="2:25" s="274" customFormat="1" ht="16.5" customHeight="1" x14ac:dyDescent="0.3">
      <c r="B58" s="349"/>
      <c r="C58" s="417"/>
      <c r="D58" s="417"/>
      <c r="E58" s="227"/>
      <c r="F58" s="434"/>
      <c r="G58" s="434"/>
      <c r="H58" s="434"/>
      <c r="I58" s="434"/>
      <c r="J58" s="434"/>
      <c r="K58" s="227"/>
      <c r="L58" s="279"/>
      <c r="M58" s="279"/>
      <c r="N58" s="279"/>
      <c r="O58" s="279"/>
      <c r="P58" s="227" t="s">
        <v>243</v>
      </c>
      <c r="Q58" s="171"/>
    </row>
    <row r="59" spans="2:25" s="274" customFormat="1" ht="16.5" customHeight="1" x14ac:dyDescent="0.3">
      <c r="B59" s="349"/>
      <c r="C59" s="417"/>
      <c r="D59" s="417"/>
      <c r="E59" s="227"/>
      <c r="K59" s="227"/>
      <c r="L59" s="279"/>
      <c r="M59" s="279"/>
      <c r="N59" s="279"/>
      <c r="O59" s="279"/>
      <c r="P59" s="227" t="s">
        <v>243</v>
      </c>
      <c r="Q59" s="171"/>
    </row>
    <row r="60" spans="2:25" ht="16.5" customHeight="1" x14ac:dyDescent="0.3">
      <c r="B60" s="129"/>
      <c r="C60" s="417"/>
      <c r="D60" s="417"/>
      <c r="F60" s="49" t="s">
        <v>115</v>
      </c>
      <c r="G60" s="50"/>
      <c r="H60" s="50"/>
      <c r="I60" s="213"/>
      <c r="J60" s="213"/>
      <c r="L60" s="142" t="s">
        <v>380</v>
      </c>
      <c r="M60" s="142" t="s">
        <v>379</v>
      </c>
      <c r="N60" s="279" t="s">
        <v>378</v>
      </c>
      <c r="O60" s="142"/>
      <c r="P60" s="227" t="s">
        <v>243</v>
      </c>
      <c r="Q60" s="54"/>
    </row>
    <row r="61" spans="2:25" x14ac:dyDescent="0.3">
      <c r="B61" s="129"/>
      <c r="C61" s="417"/>
      <c r="D61" s="417"/>
      <c r="F61" s="448" t="s">
        <v>46</v>
      </c>
      <c r="G61" s="448"/>
      <c r="H61" s="256">
        <f>H53</f>
        <v>90000</v>
      </c>
      <c r="I61" s="214"/>
      <c r="J61" s="214"/>
      <c r="O61" s="54"/>
      <c r="P61" s="227" t="s">
        <v>243</v>
      </c>
      <c r="Q61" s="11"/>
    </row>
    <row r="62" spans="2:25" x14ac:dyDescent="0.3">
      <c r="B62" s="129"/>
      <c r="C62" s="417"/>
      <c r="D62" s="417"/>
      <c r="F62" s="448" t="s">
        <v>47</v>
      </c>
      <c r="G62" s="448"/>
      <c r="H62" s="54">
        <v>0.3</v>
      </c>
      <c r="I62" s="214"/>
      <c r="J62" s="214"/>
      <c r="L62"/>
      <c r="M62"/>
      <c r="N62"/>
      <c r="O62"/>
      <c r="P62" s="227" t="s">
        <v>243</v>
      </c>
    </row>
    <row r="63" spans="2:25" x14ac:dyDescent="0.3">
      <c r="B63" s="129"/>
      <c r="C63" s="417"/>
      <c r="D63" s="417"/>
      <c r="F63" s="448" t="s">
        <v>50</v>
      </c>
      <c r="G63" s="448"/>
      <c r="H63" s="252">
        <f>H53*H62</f>
        <v>27000</v>
      </c>
      <c r="I63" s="214"/>
      <c r="J63" s="214"/>
      <c r="L63" s="77"/>
      <c r="M63" s="123"/>
      <c r="N63" s="144"/>
      <c r="O63" s="133"/>
      <c r="P63" s="227" t="s">
        <v>243</v>
      </c>
    </row>
    <row r="64" spans="2:25" x14ac:dyDescent="0.3">
      <c r="B64" s="129"/>
      <c r="C64" s="417"/>
      <c r="D64" s="417"/>
      <c r="F64" s="142"/>
      <c r="G64" s="54"/>
      <c r="H64" s="57"/>
      <c r="I64" s="214"/>
      <c r="J64" s="214"/>
      <c r="L64" s="77"/>
      <c r="M64" s="123"/>
      <c r="N64" s="144"/>
      <c r="O64" s="133"/>
      <c r="P64" s="227" t="s">
        <v>243</v>
      </c>
    </row>
    <row r="65" spans="2:16" ht="16.5" customHeight="1" x14ac:dyDescent="0.3">
      <c r="D65" s="145"/>
      <c r="P65" s="227" t="s">
        <v>243</v>
      </c>
    </row>
    <row r="66" spans="2:16" ht="60" customHeight="1" x14ac:dyDescent="0.3">
      <c r="B66" s="129">
        <v>4</v>
      </c>
      <c r="C66" s="436" t="s">
        <v>343</v>
      </c>
      <c r="D66" s="436"/>
      <c r="F66" s="42" t="s">
        <v>97</v>
      </c>
      <c r="G66" s="211"/>
      <c r="H66" s="42" t="s">
        <v>48</v>
      </c>
      <c r="I66" s="42" t="s">
        <v>49</v>
      </c>
      <c r="J66" s="274"/>
      <c r="P66" s="227" t="s">
        <v>243</v>
      </c>
    </row>
    <row r="67" spans="2:16" x14ac:dyDescent="0.3">
      <c r="B67" s="129"/>
      <c r="C67" s="436"/>
      <c r="D67" s="436"/>
      <c r="F67" s="20" t="s">
        <v>53</v>
      </c>
      <c r="H67" s="138">
        <f>H42</f>
        <v>28.810000000000002</v>
      </c>
      <c r="I67" s="146">
        <f>H67*0</f>
        <v>0</v>
      </c>
      <c r="J67" s="274"/>
      <c r="P67" s="227" t="s">
        <v>243</v>
      </c>
    </row>
    <row r="68" spans="2:16" x14ac:dyDescent="0.3">
      <c r="B68" s="129"/>
      <c r="C68" s="436"/>
      <c r="D68" s="436"/>
      <c r="F68" s="20" t="s">
        <v>51</v>
      </c>
      <c r="H68" s="138">
        <f>H43</f>
        <v>11.524000000000001</v>
      </c>
      <c r="I68" s="307">
        <f>H68*H56</f>
        <v>17286</v>
      </c>
      <c r="J68" s="274"/>
      <c r="P68" s="227" t="s">
        <v>243</v>
      </c>
    </row>
    <row r="69" spans="2:16" ht="17.25" thickBot="1" x14ac:dyDescent="0.35">
      <c r="B69" s="129"/>
      <c r="C69" s="436"/>
      <c r="D69" s="436"/>
      <c r="F69" s="147" t="s">
        <v>52</v>
      </c>
      <c r="H69" s="251">
        <f>H44</f>
        <v>17.286000000000001</v>
      </c>
      <c r="I69" s="356">
        <f>H69*H63</f>
        <v>466722.00000000006</v>
      </c>
      <c r="J69" s="274"/>
      <c r="P69" s="227" t="s">
        <v>243</v>
      </c>
    </row>
    <row r="70" spans="2:16" ht="17.25" customHeight="1" thickTop="1" x14ac:dyDescent="0.3">
      <c r="B70" s="129"/>
      <c r="C70" s="436"/>
      <c r="D70" s="436"/>
      <c r="F70" s="437" t="s">
        <v>201</v>
      </c>
      <c r="G70" s="437"/>
      <c r="H70" s="438"/>
      <c r="I70" s="450">
        <f>SUM(I67:I69)</f>
        <v>484008.00000000006</v>
      </c>
      <c r="J70" s="274"/>
      <c r="P70" s="227" t="s">
        <v>243</v>
      </c>
    </row>
    <row r="71" spans="2:16" ht="17.25" thickBot="1" x14ac:dyDescent="0.35">
      <c r="B71" s="129"/>
      <c r="C71" s="436"/>
      <c r="D71" s="436"/>
      <c r="F71" s="439"/>
      <c r="G71" s="439"/>
      <c r="H71" s="440"/>
      <c r="I71" s="451"/>
      <c r="J71" s="274"/>
      <c r="P71" s="227" t="s">
        <v>243</v>
      </c>
    </row>
    <row r="72" spans="2:16" x14ac:dyDescent="0.3">
      <c r="I72" s="274"/>
      <c r="J72" s="274"/>
      <c r="P72" s="227" t="s">
        <v>243</v>
      </c>
    </row>
    <row r="73" spans="2:16" x14ac:dyDescent="0.3">
      <c r="F73"/>
      <c r="G73"/>
      <c r="H73"/>
      <c r="I73"/>
      <c r="J73"/>
      <c r="K73"/>
      <c r="L73"/>
      <c r="P73" s="227" t="s">
        <v>243</v>
      </c>
    </row>
    <row r="74" spans="2:16" x14ac:dyDescent="0.3">
      <c r="F74"/>
      <c r="G74"/>
      <c r="H74"/>
      <c r="I74"/>
      <c r="J74"/>
      <c r="K74"/>
      <c r="L74"/>
      <c r="O74" s="357"/>
      <c r="P74" s="227" t="s">
        <v>243</v>
      </c>
    </row>
    <row r="75" spans="2:16" x14ac:dyDescent="0.3">
      <c r="F75"/>
      <c r="G75"/>
      <c r="H75"/>
      <c r="I75"/>
      <c r="J75"/>
      <c r="K75"/>
      <c r="L75"/>
      <c r="P75" s="227" t="s">
        <v>243</v>
      </c>
    </row>
    <row r="76" spans="2:16" x14ac:dyDescent="0.3">
      <c r="F76"/>
      <c r="G76"/>
      <c r="H76"/>
      <c r="I76"/>
      <c r="J76"/>
      <c r="K76"/>
      <c r="L76"/>
      <c r="P76" s="227" t="s">
        <v>243</v>
      </c>
    </row>
    <row r="77" spans="2:16" x14ac:dyDescent="0.3">
      <c r="F77"/>
      <c r="G77"/>
      <c r="H77"/>
      <c r="I77"/>
      <c r="J77"/>
      <c r="K77"/>
      <c r="L77"/>
    </row>
    <row r="78" spans="2:16" x14ac:dyDescent="0.3">
      <c r="F78"/>
      <c r="G78"/>
      <c r="H78"/>
      <c r="I78"/>
      <c r="J78"/>
      <c r="K78"/>
      <c r="L78"/>
    </row>
    <row r="79" spans="2:16" x14ac:dyDescent="0.3">
      <c r="F79"/>
      <c r="G79"/>
      <c r="H79"/>
      <c r="I79"/>
      <c r="J79"/>
      <c r="K79"/>
      <c r="L79"/>
    </row>
    <row r="80" spans="2:16" x14ac:dyDescent="0.3">
      <c r="F80"/>
      <c r="G80"/>
      <c r="H80"/>
      <c r="I80"/>
      <c r="J80"/>
      <c r="K80"/>
      <c r="L80"/>
    </row>
    <row r="81" spans="6:12" x14ac:dyDescent="0.3">
      <c r="F81"/>
      <c r="G81"/>
      <c r="H81"/>
      <c r="I81"/>
      <c r="J81"/>
      <c r="K81"/>
      <c r="L81"/>
    </row>
    <row r="82" spans="6:12" x14ac:dyDescent="0.3">
      <c r="F82"/>
      <c r="G82"/>
      <c r="H82"/>
      <c r="I82"/>
      <c r="J82"/>
      <c r="K82"/>
      <c r="L82"/>
    </row>
    <row r="83" spans="6:12" x14ac:dyDescent="0.3">
      <c r="F83"/>
      <c r="G83"/>
      <c r="H83"/>
      <c r="I83"/>
      <c r="J83"/>
      <c r="K83"/>
      <c r="L83"/>
    </row>
    <row r="84" spans="6:12" x14ac:dyDescent="0.3">
      <c r="F84"/>
      <c r="G84"/>
      <c r="H84"/>
      <c r="I84"/>
      <c r="J84"/>
      <c r="K84"/>
      <c r="L84"/>
    </row>
  </sheetData>
  <mergeCells count="20">
    <mergeCell ref="F61:G61"/>
    <mergeCell ref="F62:G62"/>
    <mergeCell ref="F63:G63"/>
    <mergeCell ref="I70:I71"/>
    <mergeCell ref="C66:D71"/>
    <mergeCell ref="F70:H71"/>
    <mergeCell ref="M2:O2"/>
    <mergeCell ref="M3:O3"/>
    <mergeCell ref="M4:O4"/>
    <mergeCell ref="C41:D47"/>
    <mergeCell ref="C49:D64"/>
    <mergeCell ref="B11:O16"/>
    <mergeCell ref="C19:O19"/>
    <mergeCell ref="C22:D39"/>
    <mergeCell ref="M5:O5"/>
    <mergeCell ref="F34:J35"/>
    <mergeCell ref="F57:J58"/>
    <mergeCell ref="F53:G53"/>
    <mergeCell ref="F54:G54"/>
    <mergeCell ref="F55:G55"/>
  </mergeCells>
  <hyperlinks>
    <hyperlink ref="N23" r:id="rId1" xr:uid="{00000000-0004-0000-0200-000000000000}"/>
    <hyperlink ref="N31"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82"/>
  <sheetViews>
    <sheetView topLeftCell="A25" zoomScale="70" zoomScaleNormal="70" zoomScaleSheetLayoutView="100" workbookViewId="0">
      <selection activeCell="L31" sqref="L31"/>
    </sheetView>
  </sheetViews>
  <sheetFormatPr defaultRowHeight="16.5" x14ac:dyDescent="0.3"/>
  <cols>
    <col min="1" max="1" width="3.5" style="187" customWidth="1"/>
    <col min="2" max="2" width="3.125" style="122" customWidth="1"/>
    <col min="3" max="3" width="24.125" style="187" customWidth="1"/>
    <col min="4" max="4" width="49" style="187" customWidth="1"/>
    <col min="5" max="5" width="1.625" style="191" customWidth="1"/>
    <col min="6" max="6" width="22.125" style="187" customWidth="1"/>
    <col min="7" max="8" width="17.75" style="187" customWidth="1"/>
    <col min="9" max="10" width="17.75" style="274" customWidth="1"/>
    <col min="11" max="11" width="1.625" style="191" customWidth="1"/>
    <col min="12" max="12" width="15.75" style="187" customWidth="1"/>
    <col min="13" max="14" width="11.25" style="187" customWidth="1"/>
    <col min="15" max="15" width="11" style="187" customWidth="1"/>
    <col min="16" max="19" width="9" style="187"/>
    <col min="20" max="20" width="62.75" style="187" customWidth="1"/>
    <col min="21" max="21" width="14.125" style="187" customWidth="1"/>
    <col min="22" max="16384" width="9" style="187"/>
  </cols>
  <sheetData>
    <row r="1" spans="2:15" x14ac:dyDescent="0.3">
      <c r="K1" s="187"/>
    </row>
    <row r="2" spans="2:15" x14ac:dyDescent="0.3">
      <c r="C2" s="26" t="s">
        <v>10</v>
      </c>
      <c r="D2" s="179" t="s">
        <v>15</v>
      </c>
      <c r="E2" s="189"/>
      <c r="K2" s="187"/>
      <c r="L2" s="26" t="s">
        <v>23</v>
      </c>
      <c r="M2" s="427" t="s">
        <v>140</v>
      </c>
      <c r="N2" s="427"/>
      <c r="O2" s="427"/>
    </row>
    <row r="3" spans="2:15" x14ac:dyDescent="0.3">
      <c r="C3" s="26" t="s">
        <v>11</v>
      </c>
      <c r="D3" s="376" t="s">
        <v>248</v>
      </c>
      <c r="K3" s="187"/>
      <c r="M3" s="441" t="s">
        <v>13</v>
      </c>
      <c r="N3" s="441"/>
      <c r="O3" s="441"/>
    </row>
    <row r="4" spans="2:15" ht="17.25" thickBot="1" x14ac:dyDescent="0.35">
      <c r="C4" s="26" t="s">
        <v>22</v>
      </c>
      <c r="D4" s="179" t="s">
        <v>125</v>
      </c>
      <c r="K4" s="187"/>
      <c r="M4" s="442" t="s">
        <v>141</v>
      </c>
      <c r="N4" s="442"/>
      <c r="O4" s="442"/>
    </row>
    <row r="5" spans="2:15" ht="17.25" thickBot="1" x14ac:dyDescent="0.35">
      <c r="C5" s="26"/>
      <c r="D5" s="179"/>
      <c r="K5" s="187"/>
      <c r="M5" s="444" t="s">
        <v>55</v>
      </c>
      <c r="N5" s="445"/>
      <c r="O5" s="446"/>
    </row>
    <row r="6" spans="2:15" s="274" customFormat="1" x14ac:dyDescent="0.3">
      <c r="B6" s="122"/>
      <c r="C6" s="207"/>
      <c r="D6" s="32"/>
      <c r="E6" s="227"/>
      <c r="M6" s="303"/>
      <c r="N6" s="303"/>
      <c r="O6" s="303"/>
    </row>
    <row r="7" spans="2:15" s="274" customFormat="1" x14ac:dyDescent="0.3">
      <c r="B7" s="122"/>
      <c r="C7" s="207" t="s">
        <v>215</v>
      </c>
      <c r="D7" s="358">
        <f>G47</f>
        <v>4644000.0000000009</v>
      </c>
      <c r="E7" s="227"/>
      <c r="M7" s="303"/>
      <c r="N7" s="303"/>
      <c r="O7" s="303"/>
    </row>
    <row r="8" spans="2:15" ht="66" x14ac:dyDescent="0.3">
      <c r="B8" s="124"/>
      <c r="C8" s="73" t="s">
        <v>12</v>
      </c>
      <c r="D8" s="148" t="s">
        <v>117</v>
      </c>
      <c r="E8" s="126"/>
      <c r="F8" s="127"/>
      <c r="G8" s="127"/>
      <c r="H8" s="127"/>
      <c r="I8" s="127"/>
      <c r="J8" s="127"/>
      <c r="K8" s="127"/>
      <c r="L8" s="127"/>
      <c r="M8" s="127"/>
      <c r="N8" s="127"/>
      <c r="O8" s="127"/>
    </row>
    <row r="9" spans="2:15" x14ac:dyDescent="0.3">
      <c r="K9" s="187"/>
    </row>
    <row r="10" spans="2:15" x14ac:dyDescent="0.3">
      <c r="B10" s="27" t="s">
        <v>14</v>
      </c>
      <c r="C10" s="128"/>
      <c r="D10" s="128"/>
      <c r="E10" s="128"/>
      <c r="F10" s="128"/>
      <c r="G10" s="128"/>
      <c r="H10" s="128"/>
      <c r="I10" s="228"/>
      <c r="J10" s="228"/>
      <c r="K10" s="128"/>
      <c r="L10" s="128"/>
      <c r="M10" s="128"/>
      <c r="N10" s="128"/>
      <c r="O10" s="128"/>
    </row>
    <row r="11" spans="2:15" ht="16.5" customHeight="1" x14ac:dyDescent="0.3">
      <c r="B11" s="452" t="s">
        <v>346</v>
      </c>
      <c r="C11" s="452"/>
      <c r="D11" s="452"/>
      <c r="E11" s="452"/>
      <c r="F11" s="452"/>
      <c r="G11" s="452"/>
      <c r="H11" s="452"/>
      <c r="I11" s="452"/>
      <c r="J11" s="452"/>
      <c r="K11" s="452"/>
      <c r="L11" s="452"/>
      <c r="M11" s="452"/>
      <c r="N11" s="452"/>
      <c r="O11" s="452"/>
    </row>
    <row r="12" spans="2:15" s="274" customFormat="1" ht="16.5" customHeight="1" x14ac:dyDescent="0.3">
      <c r="B12" s="452"/>
      <c r="C12" s="452"/>
      <c r="D12" s="452"/>
      <c r="E12" s="452"/>
      <c r="F12" s="452"/>
      <c r="G12" s="452"/>
      <c r="H12" s="452"/>
      <c r="I12" s="452"/>
      <c r="J12" s="452"/>
      <c r="K12" s="452"/>
      <c r="L12" s="452"/>
      <c r="M12" s="452"/>
      <c r="N12" s="452"/>
      <c r="O12" s="452"/>
    </row>
    <row r="13" spans="2:15" ht="16.5" customHeight="1" x14ac:dyDescent="0.3">
      <c r="B13" s="452"/>
      <c r="C13" s="452"/>
      <c r="D13" s="452"/>
      <c r="E13" s="452"/>
      <c r="F13" s="452"/>
      <c r="G13" s="452"/>
      <c r="H13" s="452"/>
      <c r="I13" s="452"/>
      <c r="J13" s="452"/>
      <c r="K13" s="452"/>
      <c r="L13" s="452"/>
      <c r="M13" s="452"/>
      <c r="N13" s="452"/>
      <c r="O13" s="452"/>
    </row>
    <row r="14" spans="2:15" x14ac:dyDescent="0.3">
      <c r="B14" s="452"/>
      <c r="C14" s="452"/>
      <c r="D14" s="452"/>
      <c r="E14" s="452"/>
      <c r="F14" s="452"/>
      <c r="G14" s="452"/>
      <c r="H14" s="452"/>
      <c r="I14" s="452"/>
      <c r="J14" s="452"/>
      <c r="K14" s="452"/>
      <c r="L14" s="452"/>
      <c r="M14" s="452"/>
      <c r="N14" s="452"/>
      <c r="O14" s="452"/>
    </row>
    <row r="15" spans="2:15" x14ac:dyDescent="0.3">
      <c r="B15" s="163"/>
      <c r="C15" s="163"/>
      <c r="D15" s="163"/>
      <c r="E15" s="163"/>
      <c r="F15" s="163"/>
      <c r="G15" s="163"/>
      <c r="H15" s="163"/>
      <c r="I15" s="284"/>
      <c r="J15" s="284"/>
      <c r="K15" s="163"/>
      <c r="L15" s="163"/>
      <c r="M15" s="163"/>
      <c r="N15" s="163"/>
      <c r="O15" s="163"/>
    </row>
    <row r="16" spans="2:15" x14ac:dyDescent="0.3">
      <c r="B16" s="27" t="s">
        <v>16</v>
      </c>
      <c r="C16" s="128"/>
      <c r="D16" s="128"/>
      <c r="E16" s="128"/>
      <c r="F16" s="128"/>
      <c r="G16" s="128"/>
      <c r="H16" s="128"/>
      <c r="I16" s="228"/>
      <c r="J16" s="228"/>
      <c r="K16" s="128"/>
      <c r="L16" s="128"/>
      <c r="M16" s="128"/>
      <c r="N16" s="128"/>
      <c r="O16" s="128"/>
    </row>
    <row r="17" spans="2:21" ht="36" customHeight="1" x14ac:dyDescent="0.3">
      <c r="B17" s="192">
        <v>1</v>
      </c>
      <c r="C17" s="425" t="s">
        <v>347</v>
      </c>
      <c r="D17" s="425"/>
      <c r="E17" s="425"/>
      <c r="F17" s="425"/>
      <c r="G17" s="425"/>
      <c r="H17" s="425"/>
      <c r="I17" s="425"/>
      <c r="J17" s="425"/>
      <c r="K17" s="425"/>
      <c r="L17" s="425"/>
      <c r="M17" s="425"/>
      <c r="N17" s="425"/>
      <c r="O17" s="425"/>
    </row>
    <row r="18" spans="2:21" x14ac:dyDescent="0.3">
      <c r="K18" s="187"/>
    </row>
    <row r="19" spans="2:21" x14ac:dyDescent="0.3">
      <c r="B19" s="27" t="s">
        <v>26</v>
      </c>
      <c r="C19" s="128"/>
      <c r="D19" s="128"/>
      <c r="F19" s="180" t="s">
        <v>25</v>
      </c>
      <c r="G19" s="128"/>
      <c r="H19" s="128"/>
      <c r="I19" s="228"/>
      <c r="J19" s="228"/>
      <c r="L19" s="180" t="s">
        <v>24</v>
      </c>
      <c r="M19" s="180"/>
      <c r="N19" s="180"/>
      <c r="O19" s="128"/>
    </row>
    <row r="20" spans="2:21" ht="117" customHeight="1" x14ac:dyDescent="0.3">
      <c r="B20" s="192">
        <v>1</v>
      </c>
      <c r="C20" s="435" t="s">
        <v>348</v>
      </c>
      <c r="D20" s="435"/>
      <c r="E20" s="79"/>
      <c r="F20" s="42" t="s">
        <v>131</v>
      </c>
      <c r="G20" s="164" t="s">
        <v>143</v>
      </c>
      <c r="H20" s="286" t="s">
        <v>211</v>
      </c>
      <c r="I20" s="286" t="s">
        <v>212</v>
      </c>
      <c r="J20" s="42" t="s">
        <v>255</v>
      </c>
      <c r="K20" s="79"/>
      <c r="L20" s="80" t="s">
        <v>29</v>
      </c>
      <c r="M20" s="80" t="s">
        <v>34</v>
      </c>
      <c r="N20" s="80" t="s">
        <v>19</v>
      </c>
      <c r="O20" s="81" t="s">
        <v>31</v>
      </c>
      <c r="P20" s="79"/>
      <c r="Q20" s="191"/>
    </row>
    <row r="21" spans="2:21" x14ac:dyDescent="0.3">
      <c r="B21" s="192"/>
      <c r="C21" s="435"/>
      <c r="D21" s="435"/>
      <c r="E21" s="77"/>
      <c r="F21" s="189" t="s">
        <v>86</v>
      </c>
      <c r="G21" s="177">
        <v>0.17</v>
      </c>
      <c r="H21" s="203">
        <v>0.06</v>
      </c>
      <c r="I21" s="203">
        <v>0.22</v>
      </c>
      <c r="J21" s="308">
        <v>0.8</v>
      </c>
      <c r="K21" s="82"/>
      <c r="L21" s="187" t="s">
        <v>27</v>
      </c>
      <c r="M21" s="187" t="s">
        <v>35</v>
      </c>
      <c r="N21" s="187" t="s">
        <v>20</v>
      </c>
      <c r="O21" s="133">
        <v>43119</v>
      </c>
      <c r="P21" s="79"/>
      <c r="Q21" s="191"/>
      <c r="S21" s="194"/>
      <c r="T21" s="191"/>
      <c r="U21" s="191"/>
    </row>
    <row r="22" spans="2:21" x14ac:dyDescent="0.3">
      <c r="B22" s="192"/>
      <c r="C22" s="435"/>
      <c r="D22" s="435"/>
      <c r="E22" s="77"/>
      <c r="F22" s="189" t="s">
        <v>87</v>
      </c>
      <c r="G22" s="177">
        <v>0.59</v>
      </c>
      <c r="H22" s="203">
        <v>0.56000000000000005</v>
      </c>
      <c r="I22" s="203">
        <v>0.59</v>
      </c>
      <c r="J22" s="308">
        <v>0.2</v>
      </c>
      <c r="K22" s="82"/>
      <c r="L22" s="82"/>
      <c r="M22" s="82"/>
      <c r="N22" s="82"/>
      <c r="O22" s="82"/>
      <c r="P22" s="79"/>
      <c r="Q22" s="191"/>
      <c r="S22" s="194"/>
      <c r="T22" s="191"/>
      <c r="U22" s="191"/>
    </row>
    <row r="23" spans="2:21" x14ac:dyDescent="0.3">
      <c r="B23" s="192"/>
      <c r="C23" s="435"/>
      <c r="D23" s="435"/>
      <c r="E23" s="77"/>
      <c r="F23" s="189" t="s">
        <v>88</v>
      </c>
      <c r="G23" s="177">
        <v>0.22</v>
      </c>
      <c r="H23" s="203">
        <v>0.28000000000000003</v>
      </c>
      <c r="I23" s="203">
        <v>0.19</v>
      </c>
      <c r="J23" s="309">
        <v>0</v>
      </c>
      <c r="K23" s="82"/>
      <c r="L23" s="82"/>
      <c r="M23" s="82"/>
      <c r="N23" s="82"/>
      <c r="O23" s="82"/>
      <c r="P23" s="79"/>
      <c r="Q23" s="191"/>
      <c r="S23" s="194"/>
      <c r="T23" s="191"/>
      <c r="U23" s="191"/>
    </row>
    <row r="24" spans="2:21" ht="18.75" customHeight="1" thickBot="1" x14ac:dyDescent="0.35">
      <c r="B24" s="192"/>
      <c r="C24" s="435"/>
      <c r="D24" s="435"/>
      <c r="E24" s="77"/>
      <c r="F24" s="116" t="s">
        <v>89</v>
      </c>
      <c r="G24" s="59">
        <v>0.03</v>
      </c>
      <c r="H24" s="355">
        <v>0.09</v>
      </c>
      <c r="I24" s="355">
        <v>0</v>
      </c>
      <c r="J24" s="310">
        <v>0</v>
      </c>
      <c r="K24" s="82"/>
      <c r="L24" s="82"/>
      <c r="M24" s="82"/>
      <c r="N24" s="82"/>
      <c r="O24" s="82"/>
      <c r="P24" s="79"/>
      <c r="Q24" s="191"/>
      <c r="S24" s="194"/>
      <c r="U24" s="191"/>
    </row>
    <row r="25" spans="2:21" ht="18.75" customHeight="1" thickTop="1" x14ac:dyDescent="0.3">
      <c r="B25" s="192"/>
      <c r="C25" s="435"/>
      <c r="D25" s="435"/>
      <c r="E25" s="77"/>
      <c r="F25" s="182" t="s">
        <v>57</v>
      </c>
      <c r="G25" s="177"/>
      <c r="I25"/>
      <c r="J25" s="151">
        <f>SUMPRODUCT(G21:G24,J21:J24)</f>
        <v>0.254</v>
      </c>
      <c r="K25" s="82"/>
      <c r="L25" s="82"/>
      <c r="M25" s="82"/>
      <c r="N25" s="82"/>
      <c r="O25" s="82"/>
      <c r="P25" s="79"/>
      <c r="Q25" s="191"/>
      <c r="S25" s="194"/>
      <c r="U25" s="191"/>
    </row>
    <row r="26" spans="2:21" x14ac:dyDescent="0.3">
      <c r="B26" s="84"/>
      <c r="C26" s="84"/>
      <c r="D26" s="84"/>
      <c r="E26" s="77"/>
      <c r="K26" s="82"/>
      <c r="L26" s="82"/>
      <c r="M26" s="82"/>
      <c r="N26" s="82"/>
      <c r="O26" s="82"/>
      <c r="P26" s="83"/>
      <c r="S26" s="194"/>
      <c r="T26" s="191"/>
      <c r="U26" s="191"/>
    </row>
    <row r="27" spans="2:21" x14ac:dyDescent="0.3">
      <c r="B27" s="192">
        <v>2</v>
      </c>
      <c r="C27" s="435" t="s">
        <v>264</v>
      </c>
      <c r="D27" s="435"/>
      <c r="E27" s="77"/>
      <c r="F27" s="311" t="s">
        <v>219</v>
      </c>
      <c r="G27" s="311"/>
      <c r="H27" s="311"/>
      <c r="I27" s="311"/>
      <c r="J27" s="312"/>
      <c r="K27"/>
      <c r="L27" t="s">
        <v>261</v>
      </c>
      <c r="M27" s="82"/>
      <c r="N27" s="82"/>
      <c r="O27" s="82"/>
      <c r="P27" s="79"/>
      <c r="Q27" s="191"/>
      <c r="S27" s="194"/>
      <c r="T27" s="191"/>
      <c r="U27" s="191"/>
    </row>
    <row r="28" spans="2:21" s="30" customFormat="1" ht="50.25" customHeight="1" x14ac:dyDescent="0.3">
      <c r="B28" s="313"/>
      <c r="C28" s="435"/>
      <c r="D28" s="435"/>
      <c r="E28" s="314"/>
      <c r="F28" s="211"/>
      <c r="G28" s="211" t="s">
        <v>80</v>
      </c>
      <c r="H28" s="211" t="s">
        <v>213</v>
      </c>
      <c r="I28" s="211" t="s">
        <v>214</v>
      </c>
      <c r="J28" s="315"/>
      <c r="K28" s="316"/>
      <c r="L28" s="316"/>
      <c r="M28" s="317"/>
      <c r="N28" s="317"/>
      <c r="O28" s="317"/>
      <c r="P28" s="318"/>
      <c r="Q28" s="314"/>
      <c r="S28" s="319"/>
      <c r="T28" s="314"/>
      <c r="U28" s="314"/>
    </row>
    <row r="29" spans="2:21" x14ac:dyDescent="0.3">
      <c r="B29" s="192"/>
      <c r="C29" s="435"/>
      <c r="D29" s="435"/>
      <c r="E29" s="77"/>
      <c r="F29" s="274" t="s">
        <v>139</v>
      </c>
      <c r="G29" s="219">
        <v>1000</v>
      </c>
      <c r="H29" s="201">
        <v>0.8</v>
      </c>
      <c r="I29">
        <f>ROUND(H29*G29,0)</f>
        <v>800</v>
      </c>
      <c r="J29"/>
      <c r="K29"/>
      <c r="L29" t="s">
        <v>256</v>
      </c>
      <c r="M29" s="82"/>
      <c r="O29" s="149"/>
      <c r="P29" s="79"/>
      <c r="Q29" s="191"/>
      <c r="S29" s="194"/>
      <c r="T29" s="191"/>
      <c r="U29" s="191"/>
    </row>
    <row r="30" spans="2:21" ht="17.25" thickBot="1" x14ac:dyDescent="0.35">
      <c r="B30" s="192"/>
      <c r="C30" s="435"/>
      <c r="D30" s="435"/>
      <c r="E30" s="77"/>
      <c r="F30" s="236" t="s">
        <v>138</v>
      </c>
      <c r="G30" s="224">
        <v>1000</v>
      </c>
      <c r="H30" s="302">
        <v>0.68</v>
      </c>
      <c r="I30" s="281">
        <f>ROUND(H30*G30,0)</f>
        <v>680</v>
      </c>
      <c r="J30"/>
      <c r="K30"/>
      <c r="L30" t="s">
        <v>249</v>
      </c>
      <c r="M30" s="82"/>
      <c r="N30" s="82"/>
      <c r="O30" s="82"/>
      <c r="P30" s="79"/>
      <c r="Q30" s="191"/>
      <c r="S30" s="194"/>
      <c r="T30" s="191"/>
      <c r="U30" s="191"/>
    </row>
    <row r="31" spans="2:21" ht="17.25" thickTop="1" x14ac:dyDescent="0.3">
      <c r="B31" s="192"/>
      <c r="C31" s="435"/>
      <c r="D31" s="435"/>
      <c r="E31" s="77"/>
      <c r="F31" s="274" t="s">
        <v>57</v>
      </c>
      <c r="G31" s="271">
        <f>SUM(G29:G30)</f>
        <v>2000</v>
      </c>
      <c r="H31"/>
      <c r="I31">
        <f>SUM(I29:I30)</f>
        <v>1480</v>
      </c>
      <c r="J31"/>
      <c r="K31"/>
      <c r="L31"/>
      <c r="P31" s="79"/>
      <c r="Q31" s="191"/>
      <c r="S31" s="194"/>
      <c r="T31" s="191"/>
      <c r="U31" s="191"/>
    </row>
    <row r="32" spans="2:21" ht="16.5" customHeight="1" x14ac:dyDescent="0.3">
      <c r="B32" s="192"/>
      <c r="C32" s="435"/>
      <c r="D32" s="435"/>
      <c r="E32" s="77"/>
      <c r="F32"/>
      <c r="G32"/>
      <c r="H32"/>
      <c r="I32"/>
      <c r="J32"/>
      <c r="K32"/>
      <c r="L32"/>
      <c r="P32" s="79"/>
      <c r="Q32" s="191"/>
      <c r="S32" s="194"/>
      <c r="T32" s="191"/>
      <c r="U32" s="191"/>
    </row>
    <row r="33" spans="2:21" ht="16.5" customHeight="1" x14ac:dyDescent="0.3">
      <c r="B33" s="192"/>
      <c r="C33" s="435"/>
      <c r="D33" s="435"/>
      <c r="E33" s="77"/>
      <c r="F33" s="447" t="s">
        <v>257</v>
      </c>
      <c r="G33" s="447"/>
      <c r="H33" s="447"/>
      <c r="I33" s="447"/>
      <c r="J33" s="447"/>
      <c r="K33"/>
      <c r="L33"/>
      <c r="M33" s="82"/>
      <c r="N33" s="82"/>
      <c r="O33" s="82"/>
      <c r="P33" s="79"/>
      <c r="Q33" s="191"/>
      <c r="S33" s="194"/>
      <c r="T33" s="191"/>
      <c r="U33" s="191"/>
    </row>
    <row r="34" spans="2:21" x14ac:dyDescent="0.3">
      <c r="B34" s="192"/>
      <c r="C34" s="435"/>
      <c r="D34" s="435"/>
      <c r="E34" s="77"/>
      <c r="F34" s="249" t="s">
        <v>136</v>
      </c>
      <c r="G34" s="287" t="s">
        <v>216</v>
      </c>
      <c r="H34" s="287" t="s">
        <v>153</v>
      </c>
      <c r="I34" s="287" t="s">
        <v>217</v>
      </c>
      <c r="J34"/>
      <c r="K34"/>
      <c r="L34"/>
      <c r="M34" s="82"/>
      <c r="N34" s="82"/>
      <c r="O34" s="82"/>
      <c r="P34" s="79"/>
      <c r="Q34" s="191"/>
      <c r="S34" s="194"/>
      <c r="T34" s="191"/>
      <c r="U34" s="191"/>
    </row>
    <row r="35" spans="2:21" x14ac:dyDescent="0.3">
      <c r="B35" s="192"/>
      <c r="C35" s="435"/>
      <c r="D35" s="435"/>
      <c r="E35" s="77"/>
      <c r="F35" s="288" t="s">
        <v>139</v>
      </c>
      <c r="G35" s="239">
        <f>SUMPRODUCT(I21:I24,J21:J24)</f>
        <v>0.29400000000000004</v>
      </c>
      <c r="H35" s="235">
        <f>G35*I29</f>
        <v>235.20000000000005</v>
      </c>
      <c r="I35" s="239">
        <f>H35/$G$31</f>
        <v>0.11760000000000002</v>
      </c>
      <c r="J35"/>
      <c r="K35"/>
      <c r="L35"/>
      <c r="M35" s="82"/>
      <c r="N35" s="82"/>
      <c r="O35" s="82"/>
      <c r="P35" s="79"/>
      <c r="Q35" s="191"/>
      <c r="S35" s="194"/>
      <c r="T35" s="191"/>
      <c r="U35" s="191"/>
    </row>
    <row r="36" spans="2:21" ht="17.25" thickBot="1" x14ac:dyDescent="0.35">
      <c r="B36" s="192"/>
      <c r="C36" s="435"/>
      <c r="D36" s="435"/>
      <c r="E36" s="77"/>
      <c r="F36" s="225" t="s">
        <v>138</v>
      </c>
      <c r="G36" s="240">
        <f>SUMPRODUCT(H21:H24,J21:J24)</f>
        <v>0.16000000000000003</v>
      </c>
      <c r="H36" s="251">
        <f>G36*I30</f>
        <v>108.80000000000003</v>
      </c>
      <c r="I36" s="240">
        <f t="shared" ref="I36:I37" si="0">H36/$G$31</f>
        <v>5.4400000000000011E-2</v>
      </c>
      <c r="J36"/>
      <c r="K36"/>
      <c r="L36"/>
      <c r="M36" s="82"/>
      <c r="N36" s="82"/>
      <c r="O36" s="82"/>
      <c r="P36" s="79"/>
      <c r="Q36" s="191"/>
      <c r="S36" s="194"/>
      <c r="T36" s="191"/>
      <c r="U36" s="191"/>
    </row>
    <row r="37" spans="2:21" ht="17.25" thickTop="1" x14ac:dyDescent="0.3">
      <c r="B37" s="192"/>
      <c r="C37" s="435"/>
      <c r="D37" s="435"/>
      <c r="E37" s="77"/>
      <c r="F37" s="288" t="s">
        <v>57</v>
      </c>
      <c r="G37" s="239">
        <f>J25</f>
        <v>0.254</v>
      </c>
      <c r="H37" s="235">
        <f>SUM(H35:H36)</f>
        <v>344.00000000000006</v>
      </c>
      <c r="I37" s="239">
        <f t="shared" si="0"/>
        <v>0.17200000000000004</v>
      </c>
      <c r="J37"/>
      <c r="K37"/>
      <c r="L37"/>
      <c r="M37" s="82"/>
      <c r="N37" s="82"/>
      <c r="O37" s="82"/>
      <c r="P37" s="79"/>
      <c r="Q37" s="191"/>
      <c r="S37" s="194"/>
      <c r="T37" s="191"/>
      <c r="U37" s="191"/>
    </row>
    <row r="38" spans="2:21" s="274" customFormat="1" x14ac:dyDescent="0.3">
      <c r="B38" s="285"/>
      <c r="C38" s="435"/>
      <c r="D38" s="435"/>
      <c r="E38" s="77"/>
      <c r="F38" s="288"/>
      <c r="G38"/>
      <c r="H38"/>
      <c r="I38" s="271"/>
      <c r="J38" s="271"/>
      <c r="K38" s="271"/>
      <c r="L38" s="271"/>
      <c r="M38" s="220"/>
      <c r="N38" s="220"/>
      <c r="O38" s="220"/>
      <c r="P38" s="219"/>
      <c r="Q38" s="227"/>
      <c r="S38" s="233"/>
      <c r="T38" s="227"/>
      <c r="U38" s="227"/>
    </row>
    <row r="39" spans="2:21" s="274" customFormat="1" ht="72.75" customHeight="1" x14ac:dyDescent="0.3">
      <c r="B39" s="285"/>
      <c r="C39" s="435"/>
      <c r="D39" s="435"/>
      <c r="E39" s="77"/>
      <c r="F39" s="453" t="s">
        <v>210</v>
      </c>
      <c r="G39" s="453"/>
      <c r="H39" s="453" t="s">
        <v>258</v>
      </c>
      <c r="I39" s="453"/>
      <c r="J39" s="453"/>
      <c r="K39" s="271"/>
      <c r="L39" s="271"/>
      <c r="M39" s="220"/>
      <c r="N39" s="220"/>
      <c r="O39" s="220"/>
      <c r="P39" s="219"/>
      <c r="Q39" s="227"/>
      <c r="S39" s="233"/>
      <c r="T39" s="227"/>
      <c r="U39" s="227"/>
    </row>
    <row r="40" spans="2:21" s="274" customFormat="1" x14ac:dyDescent="0.3">
      <c r="B40" s="285"/>
      <c r="C40" s="435"/>
      <c r="D40" s="435"/>
      <c r="E40" s="77"/>
      <c r="F40" s="237">
        <v>0.5</v>
      </c>
      <c r="G40" s="320"/>
      <c r="H40" s="301">
        <f>F40*H37</f>
        <v>172.00000000000003</v>
      </c>
      <c r="I40" s="321"/>
      <c r="J40" s="321"/>
      <c r="K40" s="271"/>
      <c r="L40" s="271"/>
      <c r="M40" s="220"/>
      <c r="N40" s="220"/>
      <c r="O40" s="220"/>
      <c r="P40" s="219"/>
      <c r="Q40" s="227"/>
      <c r="S40" s="233"/>
      <c r="T40" s="227"/>
      <c r="U40" s="227"/>
    </row>
    <row r="41" spans="2:21" ht="16.5" customHeight="1" x14ac:dyDescent="0.3">
      <c r="B41" s="84"/>
      <c r="C41" s="84"/>
      <c r="D41" s="84"/>
      <c r="E41" s="77"/>
      <c r="K41" s="82"/>
      <c r="L41" s="82"/>
      <c r="M41" s="82"/>
      <c r="N41" s="82"/>
      <c r="O41" s="82"/>
      <c r="P41" s="79"/>
      <c r="Q41" s="191"/>
      <c r="S41" s="194"/>
      <c r="T41" s="191"/>
      <c r="U41" s="191"/>
    </row>
    <row r="42" spans="2:21" ht="16.5" customHeight="1" x14ac:dyDescent="0.3">
      <c r="B42" s="192">
        <v>3</v>
      </c>
      <c r="C42" s="452" t="s">
        <v>218</v>
      </c>
      <c r="D42" s="452"/>
      <c r="E42" s="77"/>
      <c r="F42" s="162" t="s">
        <v>92</v>
      </c>
      <c r="G42" s="162"/>
      <c r="H42" s="162"/>
      <c r="I42" s="162"/>
      <c r="J42" s="162"/>
      <c r="K42" s="82"/>
      <c r="L42" s="82"/>
      <c r="M42" s="82"/>
      <c r="N42" s="82"/>
      <c r="O42" s="82"/>
      <c r="P42" s="79"/>
      <c r="Q42" s="191"/>
      <c r="S42" s="194"/>
      <c r="T42" s="191"/>
      <c r="U42" s="191"/>
    </row>
    <row r="43" spans="2:21" x14ac:dyDescent="0.3">
      <c r="B43" s="192"/>
      <c r="C43" s="452"/>
      <c r="D43" s="452"/>
      <c r="E43" s="77"/>
      <c r="F43" s="179" t="s">
        <v>90</v>
      </c>
      <c r="G43" s="323">
        <f>H40</f>
        <v>172.00000000000003</v>
      </c>
      <c r="H43" s="189"/>
      <c r="I43" s="288"/>
      <c r="J43" s="288"/>
      <c r="K43" s="82"/>
      <c r="P43" s="79"/>
      <c r="Q43" s="191"/>
      <c r="S43" s="194"/>
      <c r="T43" s="191"/>
      <c r="U43" s="191"/>
    </row>
    <row r="44" spans="2:21" x14ac:dyDescent="0.3">
      <c r="B44" s="192"/>
      <c r="C44" s="452"/>
      <c r="D44" s="452"/>
      <c r="E44" s="77"/>
      <c r="F44" s="189" t="s">
        <v>93</v>
      </c>
      <c r="G44" s="322">
        <v>0.15</v>
      </c>
      <c r="H44" s="189"/>
      <c r="I44" s="288"/>
      <c r="J44" s="288"/>
      <c r="K44" s="82"/>
      <c r="L44" s="77" t="s">
        <v>94</v>
      </c>
      <c r="M44" s="191" t="s">
        <v>83</v>
      </c>
      <c r="N44" s="144" t="s">
        <v>82</v>
      </c>
      <c r="O44" s="133">
        <v>39567</v>
      </c>
      <c r="P44" s="79"/>
      <c r="Q44" s="191"/>
      <c r="S44" s="194"/>
      <c r="T44" s="191"/>
      <c r="U44" s="191"/>
    </row>
    <row r="45" spans="2:21" ht="16.5" customHeight="1" x14ac:dyDescent="0.3">
      <c r="B45" s="192"/>
      <c r="C45" s="452"/>
      <c r="D45" s="452"/>
      <c r="E45" s="77"/>
      <c r="F45" s="189" t="s">
        <v>99</v>
      </c>
      <c r="G45" s="322">
        <v>0.15</v>
      </c>
      <c r="K45" s="82"/>
      <c r="P45" s="79"/>
      <c r="Q45" s="191"/>
      <c r="S45" s="194"/>
      <c r="T45" s="191"/>
      <c r="U45" s="191"/>
    </row>
    <row r="46" spans="2:21" ht="17.25" thickBot="1" x14ac:dyDescent="0.35">
      <c r="B46" s="192"/>
      <c r="C46" s="452"/>
      <c r="D46" s="452"/>
      <c r="E46" s="77"/>
      <c r="F46" s="116" t="s">
        <v>171</v>
      </c>
      <c r="G46" s="174">
        <f>'A2 - Recruitment'!H61</f>
        <v>90000</v>
      </c>
      <c r="K46" s="82"/>
      <c r="L46" s="82"/>
      <c r="M46" s="82"/>
      <c r="N46" s="82"/>
      <c r="O46" s="82"/>
      <c r="P46" s="79"/>
      <c r="Q46" s="191"/>
      <c r="S46" s="194"/>
      <c r="T46" s="191"/>
      <c r="U46" s="191"/>
    </row>
    <row r="47" spans="2:21" ht="18" thickTop="1" thickBot="1" x14ac:dyDescent="0.35">
      <c r="B47" s="192"/>
      <c r="C47" s="452"/>
      <c r="D47" s="452"/>
      <c r="E47" s="77"/>
      <c r="F47" s="189" t="s">
        <v>91</v>
      </c>
      <c r="G47" s="71">
        <f>G43*(G44+G45)*G46</f>
        <v>4644000.0000000009</v>
      </c>
      <c r="K47" s="82"/>
      <c r="P47" s="79"/>
      <c r="Q47" s="191"/>
      <c r="S47" s="194"/>
      <c r="T47" s="191"/>
      <c r="U47" s="191"/>
    </row>
    <row r="48" spans="2:21" x14ac:dyDescent="0.3">
      <c r="B48" s="192"/>
      <c r="C48" s="452"/>
      <c r="D48" s="452"/>
      <c r="E48" s="77"/>
      <c r="F48" s="434"/>
      <c r="G48" s="434"/>
      <c r="H48" s="434"/>
      <c r="I48" s="434"/>
      <c r="J48" s="434"/>
      <c r="K48" s="82"/>
      <c r="P48" s="79"/>
      <c r="Q48" s="191"/>
      <c r="S48" s="194"/>
      <c r="T48" s="191"/>
      <c r="U48" s="191"/>
    </row>
    <row r="49" spans="1:25" ht="16.5" customHeight="1" x14ac:dyDescent="0.3">
      <c r="B49" s="192"/>
      <c r="C49" s="452"/>
      <c r="D49" s="452"/>
      <c r="E49" s="77"/>
      <c r="F49" s="434"/>
      <c r="G49" s="434"/>
      <c r="H49" s="434"/>
      <c r="I49" s="434"/>
      <c r="J49" s="434"/>
      <c r="K49" s="82"/>
      <c r="P49" s="227" t="s">
        <v>243</v>
      </c>
      <c r="Q49" s="191"/>
      <c r="S49" s="194"/>
      <c r="T49" s="191"/>
      <c r="U49" s="191"/>
    </row>
    <row r="50" spans="1:25" x14ac:dyDescent="0.3">
      <c r="B50" s="192"/>
      <c r="C50" s="452"/>
      <c r="D50" s="452"/>
      <c r="E50" s="77"/>
      <c r="K50" s="82"/>
      <c r="L50" s="82"/>
      <c r="M50" s="82"/>
      <c r="N50" s="82"/>
      <c r="O50" s="82"/>
      <c r="P50" s="79"/>
      <c r="Q50" s="191"/>
      <c r="S50" s="194"/>
      <c r="T50" s="191"/>
      <c r="U50" s="191"/>
    </row>
    <row r="51" spans="1:25" ht="16.5" customHeight="1" x14ac:dyDescent="0.3">
      <c r="B51" s="192"/>
      <c r="C51" s="452"/>
      <c r="D51" s="452"/>
      <c r="E51" s="77"/>
      <c r="I51" s="288"/>
      <c r="J51" s="288"/>
      <c r="K51" s="82"/>
      <c r="L51" s="82"/>
      <c r="M51" s="82"/>
      <c r="N51" s="82"/>
      <c r="O51" s="82"/>
      <c r="P51" s="79"/>
      <c r="Q51" s="191"/>
      <c r="S51" s="194"/>
      <c r="T51" s="191"/>
      <c r="U51" s="191"/>
    </row>
    <row r="52" spans="1:25" ht="16.5" customHeight="1" x14ac:dyDescent="0.3">
      <c r="B52" s="192"/>
      <c r="C52" s="452"/>
      <c r="D52" s="452"/>
      <c r="E52" s="77"/>
      <c r="I52" s="288"/>
      <c r="J52" s="288"/>
      <c r="K52" s="82"/>
      <c r="L52" s="82"/>
      <c r="M52" s="82"/>
      <c r="N52" s="82"/>
      <c r="O52" s="82"/>
      <c r="P52" s="79"/>
      <c r="Q52" s="191"/>
      <c r="S52" s="194"/>
      <c r="T52" s="191"/>
      <c r="U52" s="191"/>
    </row>
    <row r="53" spans="1:25" x14ac:dyDescent="0.3">
      <c r="B53" s="192"/>
      <c r="C53" s="452"/>
      <c r="D53" s="452"/>
      <c r="E53" s="77"/>
      <c r="I53" s="288"/>
      <c r="J53" s="288"/>
      <c r="K53" s="82"/>
      <c r="L53" s="82"/>
      <c r="M53" s="82"/>
      <c r="N53" s="82"/>
      <c r="O53" s="82"/>
      <c r="P53" s="79"/>
      <c r="Q53" s="191"/>
      <c r="S53" s="194"/>
      <c r="T53" s="191"/>
      <c r="U53" s="191"/>
    </row>
    <row r="54" spans="1:25" ht="16.5" customHeight="1" x14ac:dyDescent="0.3">
      <c r="C54" s="84"/>
      <c r="D54" s="84"/>
      <c r="E54" s="77"/>
      <c r="F54" s="189"/>
      <c r="G54" s="189"/>
      <c r="H54" s="189"/>
      <c r="I54" s="288"/>
      <c r="J54" s="288"/>
      <c r="K54" s="82"/>
      <c r="L54" s="82"/>
      <c r="M54" s="82"/>
      <c r="N54" s="82"/>
      <c r="O54" s="82"/>
      <c r="P54" s="79"/>
      <c r="Q54" s="191"/>
      <c r="S54" s="194"/>
      <c r="T54" s="191"/>
      <c r="U54" s="191"/>
    </row>
    <row r="55" spans="1:25" ht="16.5" customHeight="1" x14ac:dyDescent="0.3">
      <c r="A55" s="183"/>
      <c r="B55" s="192">
        <v>4</v>
      </c>
      <c r="C55" s="435" t="s">
        <v>265</v>
      </c>
      <c r="D55" s="435"/>
      <c r="E55" s="77"/>
      <c r="F55" s="189"/>
      <c r="G55" s="189"/>
      <c r="H55" s="189"/>
      <c r="I55" s="288"/>
      <c r="J55" s="288"/>
      <c r="K55" s="82"/>
      <c r="L55" s="82"/>
      <c r="M55" s="82"/>
      <c r="N55" s="82"/>
      <c r="O55" s="82"/>
      <c r="P55" s="79"/>
      <c r="Q55" s="191"/>
      <c r="S55" s="194"/>
      <c r="T55" s="191"/>
      <c r="U55" s="191"/>
    </row>
    <row r="56" spans="1:25" s="274" customFormat="1" ht="16.5" customHeight="1" x14ac:dyDescent="0.3">
      <c r="A56" s="208"/>
      <c r="B56" s="349"/>
      <c r="C56" s="435"/>
      <c r="D56" s="435"/>
      <c r="E56" s="77"/>
      <c r="F56" s="352"/>
      <c r="G56" s="352"/>
      <c r="H56" s="352"/>
      <c r="I56" s="352"/>
      <c r="J56" s="352"/>
      <c r="K56" s="220"/>
      <c r="L56" s="220"/>
      <c r="M56" s="220"/>
      <c r="N56" s="220"/>
      <c r="O56" s="220"/>
      <c r="P56" s="219"/>
      <c r="Q56" s="227"/>
      <c r="S56" s="233"/>
      <c r="T56" s="227"/>
      <c r="U56" s="227"/>
    </row>
    <row r="57" spans="1:25" ht="16.5" customHeight="1" x14ac:dyDescent="0.3">
      <c r="B57" s="192"/>
      <c r="C57" s="435"/>
      <c r="D57" s="435"/>
      <c r="E57" s="77"/>
      <c r="F57" s="189"/>
      <c r="G57" s="189"/>
      <c r="H57" s="189"/>
      <c r="I57" s="288"/>
      <c r="J57" s="288"/>
      <c r="K57" s="82"/>
      <c r="L57" s="82"/>
      <c r="M57" s="82"/>
      <c r="N57" s="82"/>
      <c r="O57" s="82"/>
      <c r="P57" s="79"/>
      <c r="Q57" s="191"/>
      <c r="S57" s="194"/>
      <c r="T57" s="191"/>
      <c r="U57" s="191"/>
    </row>
    <row r="58" spans="1:25" ht="16.5" customHeight="1" x14ac:dyDescent="0.3">
      <c r="B58" s="192"/>
      <c r="C58" s="435"/>
      <c r="D58" s="435"/>
      <c r="E58" s="77"/>
      <c r="F58"/>
      <c r="G58"/>
      <c r="H58"/>
      <c r="I58"/>
      <c r="J58" s="288"/>
      <c r="K58" s="82"/>
      <c r="L58" s="82"/>
      <c r="M58" s="82"/>
      <c r="N58" s="82"/>
      <c r="O58" s="82"/>
      <c r="P58" s="79"/>
      <c r="Q58" s="191"/>
      <c r="S58" s="194"/>
      <c r="T58" s="191"/>
      <c r="U58" s="191"/>
    </row>
    <row r="59" spans="1:25" ht="16.5" customHeight="1" x14ac:dyDescent="0.3">
      <c r="B59" s="183"/>
      <c r="C59" s="84"/>
      <c r="D59" s="84"/>
      <c r="E59" s="77"/>
      <c r="F59"/>
      <c r="G59"/>
      <c r="H59"/>
      <c r="I59"/>
      <c r="J59" s="288"/>
      <c r="K59" s="82"/>
      <c r="L59" s="274"/>
      <c r="M59" s="274"/>
      <c r="N59" s="274"/>
      <c r="O59" s="357"/>
      <c r="P59" s="79"/>
      <c r="Q59" s="191"/>
      <c r="S59" s="194"/>
      <c r="T59" s="191"/>
      <c r="U59" s="191"/>
    </row>
    <row r="60" spans="1:25" x14ac:dyDescent="0.3">
      <c r="B60" s="183"/>
      <c r="C60" s="84"/>
      <c r="D60" s="84"/>
      <c r="E60" s="77"/>
      <c r="F60"/>
      <c r="G60"/>
      <c r="H60"/>
      <c r="I60"/>
      <c r="J60" s="288"/>
      <c r="K60" s="82"/>
      <c r="L60" s="82"/>
      <c r="M60" s="82"/>
      <c r="N60" s="82"/>
      <c r="O60" s="82"/>
      <c r="P60" s="79"/>
      <c r="Q60" s="191"/>
      <c r="S60" s="194"/>
      <c r="T60" s="191"/>
      <c r="U60" s="191"/>
    </row>
    <row r="61" spans="1:25" x14ac:dyDescent="0.3">
      <c r="A61" s="183"/>
      <c r="B61" s="183"/>
      <c r="C61" s="84"/>
      <c r="D61" s="84"/>
      <c r="E61" s="77"/>
      <c r="F61"/>
      <c r="G61"/>
      <c r="H61"/>
      <c r="I61"/>
      <c r="J61" s="288"/>
      <c r="K61" s="82"/>
      <c r="L61" s="82"/>
      <c r="M61" s="82"/>
      <c r="N61" s="82"/>
      <c r="O61" s="82"/>
      <c r="P61" s="79"/>
      <c r="Q61" s="191"/>
      <c r="S61" s="194"/>
      <c r="T61" s="191"/>
      <c r="U61" s="191"/>
    </row>
    <row r="62" spans="1:25" x14ac:dyDescent="0.3">
      <c r="B62" s="183"/>
      <c r="C62" s="84"/>
      <c r="D62" s="84"/>
      <c r="E62" s="77"/>
      <c r="F62"/>
      <c r="G62"/>
      <c r="H62"/>
      <c r="I62"/>
      <c r="J62" s="288"/>
      <c r="K62" s="82"/>
      <c r="L62" s="82"/>
      <c r="M62" s="82"/>
      <c r="N62" s="82"/>
      <c r="O62" s="82"/>
      <c r="P62" s="79"/>
      <c r="Q62" s="191"/>
      <c r="S62" s="194"/>
      <c r="T62" s="191"/>
      <c r="U62" s="191"/>
      <c r="V62" s="191"/>
      <c r="W62" s="191"/>
      <c r="X62" s="191"/>
      <c r="Y62" s="191"/>
    </row>
    <row r="63" spans="1:25" x14ac:dyDescent="0.3">
      <c r="B63" s="183"/>
      <c r="C63" s="84"/>
      <c r="D63" s="84"/>
      <c r="E63" s="77"/>
      <c r="F63"/>
      <c r="G63"/>
      <c r="H63"/>
      <c r="I63"/>
      <c r="J63" s="288"/>
      <c r="K63" s="82"/>
      <c r="L63" s="82"/>
      <c r="M63" s="82"/>
      <c r="N63" s="82"/>
      <c r="O63" s="82"/>
      <c r="P63" s="79"/>
      <c r="Q63" s="191"/>
      <c r="S63" s="194"/>
      <c r="T63" s="191"/>
      <c r="U63" s="191"/>
      <c r="V63" s="191"/>
      <c r="W63" s="191"/>
      <c r="X63" s="191"/>
      <c r="Y63" s="191"/>
    </row>
    <row r="64" spans="1:25" x14ac:dyDescent="0.3">
      <c r="B64" s="183"/>
      <c r="C64" s="84"/>
      <c r="D64" s="84"/>
      <c r="E64" s="77"/>
      <c r="F64"/>
      <c r="G64"/>
      <c r="H64"/>
      <c r="I64"/>
      <c r="J64" s="288"/>
      <c r="K64" s="82"/>
      <c r="L64" s="82"/>
      <c r="M64" s="82"/>
      <c r="N64" s="82"/>
      <c r="O64" s="82"/>
      <c r="P64" s="79"/>
      <c r="Q64" s="191"/>
      <c r="S64" s="194"/>
      <c r="T64" s="191"/>
      <c r="U64" s="191"/>
      <c r="V64" s="191"/>
      <c r="W64" s="191"/>
      <c r="X64" s="191"/>
      <c r="Y64" s="191"/>
    </row>
    <row r="65" spans="2:25" x14ac:dyDescent="0.3">
      <c r="B65" s="183"/>
      <c r="C65" s="84"/>
      <c r="D65" s="84"/>
      <c r="E65" s="77"/>
      <c r="F65"/>
      <c r="G65"/>
      <c r="H65"/>
      <c r="I65"/>
      <c r="J65" s="288"/>
      <c r="K65" s="82"/>
      <c r="L65" s="82"/>
      <c r="M65" s="82"/>
      <c r="N65" s="82"/>
      <c r="O65" s="82"/>
      <c r="P65" s="79"/>
      <c r="Q65" s="191"/>
      <c r="S65" s="194"/>
      <c r="T65" s="191"/>
      <c r="U65" s="191"/>
      <c r="V65" s="191"/>
      <c r="W65" s="191"/>
      <c r="X65" s="191"/>
      <c r="Y65" s="191"/>
    </row>
    <row r="66" spans="2:25" x14ac:dyDescent="0.3">
      <c r="B66" s="183"/>
      <c r="C66" s="84"/>
      <c r="D66" s="84"/>
      <c r="E66" s="77"/>
      <c r="F66"/>
      <c r="G66"/>
      <c r="H66"/>
      <c r="I66"/>
      <c r="J66" s="288"/>
      <c r="K66" s="82"/>
      <c r="L66" s="82"/>
      <c r="M66" s="82"/>
      <c r="N66" s="82"/>
      <c r="O66" s="82"/>
      <c r="P66" s="79"/>
      <c r="Q66" s="191"/>
      <c r="S66" s="194"/>
      <c r="T66" s="191"/>
      <c r="U66" s="191"/>
      <c r="V66" s="191"/>
      <c r="W66" s="191"/>
      <c r="X66" s="191"/>
      <c r="Y66" s="191"/>
    </row>
    <row r="67" spans="2:25" x14ac:dyDescent="0.3">
      <c r="B67" s="183"/>
      <c r="C67" s="84"/>
      <c r="D67" s="84"/>
      <c r="E67" s="77"/>
      <c r="F67"/>
      <c r="G67"/>
      <c r="H67"/>
      <c r="I67"/>
      <c r="J67" s="288"/>
      <c r="K67" s="82"/>
      <c r="L67" s="82"/>
      <c r="M67" s="82"/>
      <c r="N67" s="82"/>
      <c r="O67" s="82"/>
      <c r="P67" s="79"/>
      <c r="Q67" s="191"/>
      <c r="S67" s="194"/>
      <c r="T67" s="191"/>
      <c r="U67" s="191"/>
      <c r="V67" s="191"/>
      <c r="W67" s="191"/>
      <c r="X67" s="191"/>
      <c r="Y67" s="191"/>
    </row>
    <row r="68" spans="2:25" ht="16.5" customHeight="1" x14ac:dyDescent="0.3">
      <c r="D68" s="183"/>
      <c r="E68" s="77"/>
      <c r="F68"/>
      <c r="G68"/>
      <c r="H68"/>
      <c r="I68"/>
      <c r="J68" s="288"/>
      <c r="K68" s="189"/>
      <c r="L68" s="189"/>
      <c r="M68" s="189"/>
      <c r="N68" s="189"/>
      <c r="O68" s="189"/>
      <c r="P68" s="191"/>
      <c r="Q68" s="191"/>
      <c r="V68" s="191"/>
      <c r="W68" s="191"/>
      <c r="X68" s="191"/>
      <c r="Y68" s="191"/>
    </row>
    <row r="69" spans="2:25" x14ac:dyDescent="0.3">
      <c r="C69" s="183"/>
      <c r="D69" s="183"/>
      <c r="E69" s="77"/>
      <c r="F69"/>
      <c r="G69"/>
      <c r="H69"/>
      <c r="I69"/>
      <c r="J69" s="288"/>
      <c r="K69" s="189"/>
      <c r="L69" s="189"/>
      <c r="M69" s="189"/>
      <c r="N69" s="189"/>
      <c r="O69" s="189"/>
      <c r="P69" s="191"/>
      <c r="Q69" s="191"/>
      <c r="S69" s="191"/>
      <c r="T69" s="191"/>
      <c r="V69" s="191"/>
      <c r="W69" s="191"/>
      <c r="X69" s="191"/>
      <c r="Y69" s="191"/>
    </row>
    <row r="70" spans="2:25" x14ac:dyDescent="0.3">
      <c r="C70" s="183"/>
      <c r="D70" s="183"/>
      <c r="E70" s="77"/>
      <c r="F70"/>
      <c r="G70"/>
      <c r="H70"/>
      <c r="I70"/>
      <c r="J70" s="288"/>
      <c r="K70" s="189"/>
      <c r="L70" s="189"/>
      <c r="M70" s="189"/>
      <c r="N70" s="189"/>
      <c r="O70" s="189"/>
      <c r="P70" s="191"/>
      <c r="Q70" s="191"/>
      <c r="S70" s="191"/>
      <c r="T70" s="191"/>
      <c r="V70" s="191"/>
      <c r="W70" s="191"/>
      <c r="X70" s="191"/>
      <c r="Y70" s="191"/>
    </row>
    <row r="71" spans="2:25" x14ac:dyDescent="0.3">
      <c r="C71" s="183"/>
      <c r="D71" s="183"/>
      <c r="E71" s="77"/>
      <c r="K71" s="189"/>
      <c r="L71" s="189"/>
      <c r="M71" s="189"/>
      <c r="N71" s="189"/>
      <c r="O71" s="189"/>
      <c r="S71" s="139"/>
      <c r="T71" s="191"/>
      <c r="V71" s="191"/>
      <c r="W71" s="191"/>
      <c r="X71" s="191"/>
      <c r="Y71" s="191"/>
    </row>
    <row r="72" spans="2:25" x14ac:dyDescent="0.3">
      <c r="C72" s="183"/>
      <c r="D72" s="183"/>
      <c r="E72" s="77"/>
      <c r="F72" s="189"/>
      <c r="G72" s="189"/>
      <c r="H72" s="189"/>
      <c r="I72" s="288"/>
      <c r="J72" s="288"/>
      <c r="K72" s="189"/>
      <c r="L72" s="189"/>
      <c r="M72" s="189"/>
      <c r="N72" s="75"/>
      <c r="O72" s="76"/>
      <c r="S72" s="139"/>
      <c r="T72" s="191"/>
      <c r="V72" s="191"/>
      <c r="W72" s="191"/>
      <c r="X72" s="191"/>
      <c r="Y72" s="191"/>
    </row>
    <row r="73" spans="2:25" x14ac:dyDescent="0.3">
      <c r="C73" s="183"/>
      <c r="D73" s="183"/>
      <c r="E73" s="77"/>
      <c r="K73" s="189"/>
      <c r="L73" s="189"/>
      <c r="M73" s="189"/>
      <c r="N73" s="189"/>
      <c r="O73" s="189"/>
      <c r="S73" s="139"/>
      <c r="T73" s="191"/>
      <c r="V73" s="191"/>
      <c r="W73" s="191"/>
      <c r="X73" s="191"/>
      <c r="Y73" s="191"/>
    </row>
    <row r="74" spans="2:25" x14ac:dyDescent="0.3">
      <c r="C74" s="183"/>
      <c r="D74" s="183"/>
      <c r="E74" s="77"/>
      <c r="K74" s="189"/>
      <c r="L74" s="189"/>
      <c r="M74" s="189"/>
      <c r="N74" s="189"/>
      <c r="O74" s="189"/>
      <c r="S74" s="139"/>
      <c r="T74" s="191"/>
      <c r="V74" s="191"/>
      <c r="W74" s="191"/>
      <c r="X74" s="191"/>
      <c r="Y74" s="191"/>
    </row>
    <row r="75" spans="2:25" ht="16.5" customHeight="1" x14ac:dyDescent="0.3">
      <c r="C75" s="183"/>
      <c r="D75" s="183"/>
      <c r="E75" s="77"/>
      <c r="F75" s="189"/>
      <c r="G75" s="189"/>
      <c r="H75" s="189"/>
      <c r="I75" s="288"/>
      <c r="J75" s="288"/>
      <c r="K75" s="189"/>
      <c r="L75" s="189"/>
      <c r="M75" s="189"/>
      <c r="N75" s="189"/>
      <c r="O75" s="189"/>
      <c r="S75" s="139"/>
      <c r="T75" s="191"/>
      <c r="V75" s="191"/>
      <c r="W75" s="191"/>
      <c r="X75" s="191"/>
      <c r="Y75" s="191"/>
    </row>
    <row r="76" spans="2:25" ht="16.5" customHeight="1" x14ac:dyDescent="0.3">
      <c r="E76" s="77"/>
      <c r="F76" s="189"/>
      <c r="G76" s="189"/>
      <c r="H76" s="189"/>
      <c r="I76" s="288"/>
      <c r="J76" s="288"/>
      <c r="K76" s="189"/>
      <c r="L76" s="189"/>
      <c r="M76" s="189"/>
      <c r="N76" s="189"/>
      <c r="O76" s="189"/>
    </row>
    <row r="77" spans="2:25" x14ac:dyDescent="0.3">
      <c r="F77" s="189"/>
      <c r="G77" s="189"/>
      <c r="H77" s="189"/>
      <c r="I77" s="288"/>
      <c r="J77" s="288"/>
      <c r="K77" s="189"/>
      <c r="L77" s="189"/>
      <c r="M77" s="189"/>
      <c r="N77" s="189"/>
      <c r="O77" s="189"/>
    </row>
    <row r="79" spans="2:25" x14ac:dyDescent="0.3">
      <c r="B79" s="187"/>
    </row>
    <row r="80" spans="2:25" x14ac:dyDescent="0.3">
      <c r="B80" s="187"/>
    </row>
    <row r="81" spans="1:25" s="191" customFormat="1" ht="17.25" customHeight="1" x14ac:dyDescent="0.3">
      <c r="A81" s="187"/>
      <c r="B81" s="187"/>
      <c r="C81" s="187"/>
      <c r="D81" s="187"/>
      <c r="F81" s="187"/>
      <c r="G81" s="187"/>
      <c r="H81" s="187"/>
      <c r="I81" s="274"/>
      <c r="J81" s="274"/>
      <c r="L81" s="187"/>
      <c r="M81" s="187"/>
      <c r="N81" s="187"/>
      <c r="O81" s="187"/>
      <c r="P81" s="187"/>
      <c r="Q81" s="187"/>
      <c r="R81" s="187"/>
      <c r="S81" s="187"/>
      <c r="T81" s="187"/>
      <c r="U81" s="187"/>
      <c r="V81" s="187"/>
      <c r="W81" s="187"/>
      <c r="X81" s="187"/>
      <c r="Y81" s="187"/>
    </row>
    <row r="82" spans="1:25" s="191" customFormat="1" x14ac:dyDescent="0.3">
      <c r="A82" s="187"/>
      <c r="B82" s="122"/>
      <c r="C82" s="187"/>
      <c r="D82" s="145"/>
      <c r="F82" s="187"/>
      <c r="G82" s="187"/>
      <c r="H82" s="187"/>
      <c r="I82" s="274"/>
      <c r="J82" s="274"/>
      <c r="L82" s="187"/>
      <c r="M82" s="187"/>
      <c r="N82" s="187"/>
      <c r="O82" s="187"/>
      <c r="P82" s="187"/>
      <c r="Q82" s="187"/>
      <c r="R82" s="187"/>
      <c r="S82" s="187"/>
      <c r="T82" s="187"/>
      <c r="U82" s="187"/>
      <c r="V82" s="187"/>
      <c r="W82" s="187"/>
      <c r="X82" s="187"/>
      <c r="Y82" s="187"/>
    </row>
  </sheetData>
  <mergeCells count="14">
    <mergeCell ref="C55:D58"/>
    <mergeCell ref="C42:D53"/>
    <mergeCell ref="F33:J33"/>
    <mergeCell ref="F39:G39"/>
    <mergeCell ref="H39:J39"/>
    <mergeCell ref="C20:D25"/>
    <mergeCell ref="C27:D40"/>
    <mergeCell ref="F48:J49"/>
    <mergeCell ref="M2:O2"/>
    <mergeCell ref="M3:O3"/>
    <mergeCell ref="M4:O4"/>
    <mergeCell ref="B11:O14"/>
    <mergeCell ref="C17:O17"/>
    <mergeCell ref="M5:O5"/>
  </mergeCells>
  <hyperlinks>
    <hyperlink ref="N44"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4"/>
  <sheetViews>
    <sheetView topLeftCell="B13" zoomScale="70" zoomScaleNormal="70" zoomScaleSheetLayoutView="100" workbookViewId="0">
      <selection activeCell="F20" sqref="F20"/>
    </sheetView>
  </sheetViews>
  <sheetFormatPr defaultRowHeight="16.5" x14ac:dyDescent="0.3"/>
  <cols>
    <col min="1" max="1" width="3.5" style="20" customWidth="1"/>
    <col min="2" max="2" width="3.125" style="122" customWidth="1"/>
    <col min="3" max="3" width="24.125" style="20" customWidth="1"/>
    <col min="4" max="4" width="43.25" style="20" customWidth="1"/>
    <col min="5" max="5" width="1.625" style="123" customWidth="1"/>
    <col min="6" max="6" width="32" style="20" customWidth="1"/>
    <col min="7" max="7" width="15.875" style="20" customWidth="1"/>
    <col min="8" max="8" width="16" style="20" customWidth="1"/>
    <col min="9" max="9" width="14.875" style="20" customWidth="1"/>
    <col min="10" max="10" width="1.625" style="123" customWidth="1"/>
    <col min="11" max="11" width="15.625" style="20" customWidth="1"/>
    <col min="12" max="13" width="11.25" style="20" customWidth="1"/>
    <col min="14" max="14" width="11" style="20" customWidth="1"/>
    <col min="15" max="19" width="9" style="20"/>
    <col min="20" max="20" width="14.125" style="20" customWidth="1"/>
    <col min="21" max="16384" width="9" style="20"/>
  </cols>
  <sheetData>
    <row r="1" spans="2:14" x14ac:dyDescent="0.3">
      <c r="J1" s="20"/>
    </row>
    <row r="2" spans="2:14" x14ac:dyDescent="0.3">
      <c r="C2" s="26" t="s">
        <v>10</v>
      </c>
      <c r="D2" s="108" t="s">
        <v>15</v>
      </c>
      <c r="E2" s="74"/>
      <c r="J2" s="20"/>
      <c r="K2" s="26" t="s">
        <v>23</v>
      </c>
      <c r="L2" s="427" t="s">
        <v>140</v>
      </c>
      <c r="M2" s="427"/>
      <c r="N2" s="427"/>
    </row>
    <row r="3" spans="2:14" x14ac:dyDescent="0.3">
      <c r="C3" s="26" t="s">
        <v>11</v>
      </c>
      <c r="D3" s="108" t="s">
        <v>248</v>
      </c>
      <c r="J3" s="20"/>
      <c r="L3" s="441" t="s">
        <v>13</v>
      </c>
      <c r="M3" s="441"/>
      <c r="N3" s="441"/>
    </row>
    <row r="4" spans="2:14" ht="17.25" thickBot="1" x14ac:dyDescent="0.35">
      <c r="C4" s="26" t="s">
        <v>22</v>
      </c>
      <c r="D4" s="108" t="s">
        <v>4</v>
      </c>
      <c r="J4" s="20"/>
      <c r="L4" s="442" t="s">
        <v>141</v>
      </c>
      <c r="M4" s="442"/>
      <c r="N4" s="442"/>
    </row>
    <row r="5" spans="2:14" ht="17.25" thickBot="1" x14ac:dyDescent="0.35">
      <c r="C5" s="26"/>
      <c r="D5" s="288"/>
      <c r="J5" s="20"/>
      <c r="L5" s="444" t="s">
        <v>55</v>
      </c>
      <c r="M5" s="445"/>
      <c r="N5" s="446"/>
    </row>
    <row r="6" spans="2:14" s="274" customFormat="1" x14ac:dyDescent="0.3">
      <c r="B6" s="122"/>
      <c r="C6" s="207"/>
      <c r="D6" s="32"/>
      <c r="E6" s="227"/>
      <c r="L6" s="303"/>
      <c r="M6" s="303"/>
      <c r="N6" s="303"/>
    </row>
    <row r="7" spans="2:14" s="274" customFormat="1" x14ac:dyDescent="0.3">
      <c r="B7" s="122"/>
      <c r="C7" s="207" t="s">
        <v>215</v>
      </c>
      <c r="D7" s="358">
        <f>I56</f>
        <v>1843088.4184308844</v>
      </c>
      <c r="E7" s="227"/>
      <c r="L7" s="303"/>
      <c r="M7" s="303"/>
      <c r="N7" s="303"/>
    </row>
    <row r="8" spans="2:14" ht="49.5" x14ac:dyDescent="0.3">
      <c r="B8" s="124"/>
      <c r="C8" s="73" t="s">
        <v>12</v>
      </c>
      <c r="D8" s="125" t="s">
        <v>66</v>
      </c>
      <c r="E8" s="126"/>
      <c r="F8" s="127"/>
      <c r="G8" s="127"/>
      <c r="H8" s="127"/>
      <c r="I8" s="127"/>
      <c r="J8" s="127"/>
      <c r="K8" s="127"/>
      <c r="L8" s="127"/>
      <c r="M8" s="127"/>
      <c r="N8" s="127"/>
    </row>
    <row r="9" spans="2:14" x14ac:dyDescent="0.3">
      <c r="J9" s="20"/>
    </row>
    <row r="10" spans="2:14" x14ac:dyDescent="0.3">
      <c r="B10" s="27" t="s">
        <v>14</v>
      </c>
      <c r="C10" s="128"/>
      <c r="D10" s="128"/>
      <c r="E10" s="128"/>
      <c r="F10" s="128"/>
      <c r="G10" s="128"/>
      <c r="H10" s="128"/>
      <c r="I10" s="128"/>
      <c r="J10" s="128"/>
      <c r="K10" s="128"/>
      <c r="L10" s="128"/>
      <c r="M10" s="128"/>
      <c r="N10" s="128"/>
    </row>
    <row r="11" spans="2:14" ht="16.5" customHeight="1" x14ac:dyDescent="0.3">
      <c r="B11" s="452" t="s">
        <v>349</v>
      </c>
      <c r="C11" s="452"/>
      <c r="D11" s="452"/>
      <c r="E11" s="452"/>
      <c r="F11" s="452"/>
      <c r="G11" s="452"/>
      <c r="H11" s="452"/>
      <c r="I11" s="452"/>
      <c r="J11" s="452"/>
      <c r="K11" s="452"/>
      <c r="L11" s="452"/>
      <c r="M11" s="452"/>
      <c r="N11" s="452"/>
    </row>
    <row r="12" spans="2:14" ht="16.5" customHeight="1" x14ac:dyDescent="0.3">
      <c r="B12" s="452"/>
      <c r="C12" s="452"/>
      <c r="D12" s="452"/>
      <c r="E12" s="452"/>
      <c r="F12" s="452"/>
      <c r="G12" s="452"/>
      <c r="H12" s="452"/>
      <c r="I12" s="452"/>
      <c r="J12" s="452"/>
      <c r="K12" s="452"/>
      <c r="L12" s="452"/>
      <c r="M12" s="452"/>
      <c r="N12" s="452"/>
    </row>
    <row r="13" spans="2:14" x14ac:dyDescent="0.3">
      <c r="B13" s="452"/>
      <c r="C13" s="452"/>
      <c r="D13" s="452"/>
      <c r="E13" s="452"/>
      <c r="F13" s="452"/>
      <c r="G13" s="452"/>
      <c r="H13" s="452"/>
      <c r="I13" s="452"/>
      <c r="J13" s="452"/>
      <c r="K13" s="452"/>
      <c r="L13" s="452"/>
      <c r="M13" s="452"/>
      <c r="N13" s="452"/>
    </row>
    <row r="14" spans="2:14" x14ac:dyDescent="0.3">
      <c r="B14" s="117"/>
      <c r="C14" s="117"/>
      <c r="D14" s="117"/>
      <c r="E14" s="117"/>
      <c r="F14" s="117"/>
      <c r="G14" s="117"/>
      <c r="H14" s="117"/>
      <c r="I14" s="117"/>
      <c r="J14" s="117"/>
      <c r="K14" s="117"/>
      <c r="L14" s="117"/>
      <c r="M14" s="117"/>
      <c r="N14" s="117"/>
    </row>
    <row r="15" spans="2:14" x14ac:dyDescent="0.3">
      <c r="B15" s="27" t="s">
        <v>16</v>
      </c>
      <c r="C15" s="128"/>
      <c r="D15" s="128"/>
      <c r="E15" s="128"/>
      <c r="F15" s="128"/>
      <c r="G15" s="128"/>
      <c r="H15" s="128"/>
      <c r="I15" s="128"/>
      <c r="J15" s="128"/>
      <c r="K15" s="128"/>
      <c r="L15" s="128"/>
      <c r="M15" s="128"/>
      <c r="N15" s="128"/>
    </row>
    <row r="16" spans="2:14" x14ac:dyDescent="0.3">
      <c r="B16" s="129">
        <v>1</v>
      </c>
      <c r="C16" s="425" t="s">
        <v>350</v>
      </c>
      <c r="D16" s="443"/>
      <c r="E16" s="443"/>
      <c r="F16" s="443"/>
      <c r="G16" s="443"/>
      <c r="H16" s="443"/>
      <c r="I16" s="443"/>
      <c r="J16" s="443"/>
      <c r="K16" s="443"/>
      <c r="L16" s="443"/>
      <c r="M16" s="443"/>
      <c r="N16" s="443"/>
    </row>
    <row r="17" spans="2:20" x14ac:dyDescent="0.3">
      <c r="J17" s="20"/>
    </row>
    <row r="18" spans="2:20" x14ac:dyDescent="0.3">
      <c r="B18" s="27" t="s">
        <v>26</v>
      </c>
      <c r="C18" s="128"/>
      <c r="D18" s="128"/>
      <c r="F18" s="25" t="s">
        <v>25</v>
      </c>
      <c r="G18" s="128"/>
      <c r="H18" s="128"/>
      <c r="I18" s="128"/>
      <c r="K18" s="25" t="s">
        <v>24</v>
      </c>
      <c r="L18" s="25"/>
      <c r="M18" s="25"/>
      <c r="N18" s="128"/>
    </row>
    <row r="19" spans="2:20" ht="66" customHeight="1" x14ac:dyDescent="0.3">
      <c r="B19" s="129">
        <v>1</v>
      </c>
      <c r="C19" s="436" t="s">
        <v>351</v>
      </c>
      <c r="D19" s="436"/>
      <c r="F19" s="42" t="s">
        <v>220</v>
      </c>
      <c r="G19" s="60" t="s">
        <v>161</v>
      </c>
      <c r="H19" s="454" t="s">
        <v>221</v>
      </c>
      <c r="I19" s="454"/>
      <c r="K19" s="45" t="s">
        <v>29</v>
      </c>
      <c r="L19" s="45" t="s">
        <v>34</v>
      </c>
      <c r="M19" s="45" t="s">
        <v>19</v>
      </c>
      <c r="N19" s="46" t="s">
        <v>31</v>
      </c>
      <c r="O19" s="123"/>
      <c r="P19" s="123"/>
    </row>
    <row r="20" spans="2:20" x14ac:dyDescent="0.3">
      <c r="B20" s="129"/>
      <c r="C20" s="436"/>
      <c r="D20" s="436"/>
      <c r="E20" s="130"/>
      <c r="F20" s="257">
        <v>8</v>
      </c>
      <c r="G20" s="67">
        <v>0.88</v>
      </c>
      <c r="H20" s="258">
        <f>F20/G20</f>
        <v>9.0909090909090917</v>
      </c>
      <c r="I20" s="146"/>
      <c r="K20" s="65" t="s">
        <v>160</v>
      </c>
      <c r="L20" s="77" t="s">
        <v>68</v>
      </c>
      <c r="M20" s="64" t="s">
        <v>67</v>
      </c>
      <c r="N20" s="66">
        <v>43123</v>
      </c>
      <c r="O20" s="181"/>
      <c r="P20" s="123"/>
      <c r="R20" s="134"/>
      <c r="S20" s="123"/>
      <c r="T20" s="123"/>
    </row>
    <row r="21" spans="2:20" x14ac:dyDescent="0.3">
      <c r="B21" s="129"/>
      <c r="C21" s="436"/>
      <c r="D21" s="436"/>
      <c r="E21" s="130"/>
      <c r="F21" s="137"/>
      <c r="G21" s="62"/>
      <c r="H21" s="62"/>
      <c r="I21" s="62"/>
      <c r="O21" s="123"/>
      <c r="P21" s="123"/>
      <c r="R21" s="134"/>
      <c r="S21" s="123"/>
      <c r="T21" s="123"/>
    </row>
    <row r="22" spans="2:20" x14ac:dyDescent="0.3">
      <c r="B22" s="129"/>
      <c r="C22" s="436"/>
      <c r="D22" s="436"/>
      <c r="E22" s="130"/>
      <c r="F22" s="62"/>
      <c r="G22" s="62"/>
      <c r="H22" s="62"/>
      <c r="I22" s="62"/>
      <c r="O22" s="123"/>
      <c r="P22" s="123"/>
      <c r="R22" s="134"/>
      <c r="S22" s="123"/>
      <c r="T22" s="123"/>
    </row>
    <row r="23" spans="2:20" x14ac:dyDescent="0.3">
      <c r="B23" s="129"/>
      <c r="C23" s="436"/>
      <c r="D23" s="436"/>
      <c r="E23" s="130"/>
      <c r="F23" s="62"/>
      <c r="G23" s="62"/>
      <c r="H23" s="62"/>
      <c r="I23" s="62"/>
      <c r="O23" s="123"/>
      <c r="P23" s="123"/>
      <c r="R23" s="134"/>
      <c r="S23" s="123"/>
      <c r="T23" s="123"/>
    </row>
    <row r="24" spans="2:20" s="206" customFormat="1" x14ac:dyDescent="0.3">
      <c r="B24" s="229"/>
      <c r="C24" s="436"/>
      <c r="D24" s="436"/>
      <c r="E24" s="230"/>
      <c r="F24" s="188"/>
      <c r="G24" s="188"/>
      <c r="H24" s="188"/>
      <c r="I24" s="188"/>
      <c r="J24" s="227"/>
      <c r="O24" s="227"/>
      <c r="P24" s="227"/>
      <c r="R24" s="233"/>
      <c r="S24" s="227"/>
      <c r="T24" s="227"/>
    </row>
    <row r="25" spans="2:20" s="206" customFormat="1" x14ac:dyDescent="0.3">
      <c r="B25" s="229"/>
      <c r="C25" s="436"/>
      <c r="D25" s="436"/>
      <c r="E25" s="230"/>
      <c r="F25" s="188"/>
      <c r="G25" s="188"/>
      <c r="H25" s="188"/>
      <c r="I25" s="188"/>
      <c r="J25" s="227"/>
      <c r="O25" s="227"/>
      <c r="P25" s="227"/>
      <c r="R25" s="233"/>
      <c r="S25" s="227"/>
      <c r="T25" s="227"/>
    </row>
    <row r="26" spans="2:20" s="206" customFormat="1" x14ac:dyDescent="0.3">
      <c r="B26" s="229"/>
      <c r="C26" s="436"/>
      <c r="D26" s="436"/>
      <c r="E26" s="230"/>
      <c r="F26" s="188"/>
      <c r="G26" s="188"/>
      <c r="H26" s="188"/>
      <c r="I26" s="188"/>
      <c r="J26" s="227"/>
      <c r="O26" s="227"/>
      <c r="P26" s="227"/>
      <c r="R26" s="233"/>
      <c r="S26" s="227"/>
      <c r="T26" s="227"/>
    </row>
    <row r="27" spans="2:20" s="206" customFormat="1" x14ac:dyDescent="0.3">
      <c r="B27" s="229"/>
      <c r="C27" s="436"/>
      <c r="D27" s="436"/>
      <c r="E27" s="230"/>
      <c r="F27" s="188"/>
      <c r="G27" s="188"/>
      <c r="H27" s="188"/>
      <c r="I27" s="188"/>
      <c r="J27" s="227"/>
      <c r="O27" s="227"/>
      <c r="P27" s="227"/>
      <c r="R27" s="233"/>
      <c r="S27" s="227"/>
      <c r="T27" s="227"/>
    </row>
    <row r="28" spans="2:20" s="206" customFormat="1" x14ac:dyDescent="0.3">
      <c r="B28" s="229"/>
      <c r="C28" s="436"/>
      <c r="D28" s="436"/>
      <c r="E28" s="230"/>
      <c r="F28" s="188"/>
      <c r="G28" s="188"/>
      <c r="H28" s="188"/>
      <c r="I28" s="188"/>
      <c r="J28" s="227"/>
      <c r="O28" s="227"/>
      <c r="P28" s="227"/>
      <c r="R28" s="233"/>
      <c r="S28" s="227"/>
      <c r="T28" s="227"/>
    </row>
    <row r="29" spans="2:20" s="187" customFormat="1" x14ac:dyDescent="0.3">
      <c r="B29" s="192"/>
      <c r="C29" s="436"/>
      <c r="D29" s="436"/>
      <c r="E29" s="193"/>
      <c r="F29" s="188"/>
      <c r="G29" s="188"/>
      <c r="H29" s="188"/>
      <c r="I29" s="188"/>
      <c r="J29" s="191"/>
      <c r="O29" s="191"/>
      <c r="P29" s="191"/>
      <c r="R29" s="194"/>
      <c r="S29" s="191"/>
      <c r="T29" s="191"/>
    </row>
    <row r="30" spans="2:20" x14ac:dyDescent="0.3">
      <c r="B30" s="129"/>
      <c r="C30" s="436"/>
      <c r="D30" s="436"/>
      <c r="E30" s="130"/>
      <c r="J30" s="20"/>
      <c r="R30" s="134"/>
      <c r="S30" s="123"/>
      <c r="T30" s="123"/>
    </row>
    <row r="31" spans="2:20" x14ac:dyDescent="0.3">
      <c r="C31" s="136"/>
      <c r="D31" s="136"/>
      <c r="E31" s="130"/>
      <c r="O31" s="123"/>
      <c r="P31" s="123"/>
      <c r="R31" s="134"/>
      <c r="S31" s="123"/>
      <c r="T31" s="123"/>
    </row>
    <row r="32" spans="2:20" ht="51" customHeight="1" x14ac:dyDescent="0.3">
      <c r="B32" s="129">
        <v>2</v>
      </c>
      <c r="C32" s="417" t="s">
        <v>352</v>
      </c>
      <c r="D32" s="417"/>
      <c r="E32" s="130"/>
      <c r="F32" s="453" t="s">
        <v>56</v>
      </c>
      <c r="G32" s="453"/>
      <c r="H32" s="42" t="s">
        <v>225</v>
      </c>
      <c r="I32" s="211" t="s">
        <v>224</v>
      </c>
      <c r="O32" s="123"/>
      <c r="P32" s="123"/>
      <c r="R32" s="134"/>
      <c r="S32" s="123"/>
      <c r="T32" s="123"/>
    </row>
    <row r="33" spans="2:24" ht="16.5" customHeight="1" x14ac:dyDescent="0.3">
      <c r="B33" s="129"/>
      <c r="C33" s="417"/>
      <c r="D33" s="417"/>
      <c r="E33" s="130"/>
      <c r="F33" s="449" t="s">
        <v>222</v>
      </c>
      <c r="G33" s="449"/>
      <c r="H33" s="320">
        <v>1000</v>
      </c>
      <c r="I33" s="239">
        <f>H33/H35</f>
        <v>0.5</v>
      </c>
      <c r="K33" t="s">
        <v>228</v>
      </c>
      <c r="M33" s="187"/>
      <c r="N33" s="187"/>
      <c r="O33" s="123"/>
      <c r="P33" s="123"/>
      <c r="R33" s="134"/>
      <c r="S33" s="123"/>
      <c r="T33" s="123"/>
    </row>
    <row r="34" spans="2:24" ht="17.25" thickBot="1" x14ac:dyDescent="0.35">
      <c r="B34" s="129"/>
      <c r="C34" s="417"/>
      <c r="D34" s="417"/>
      <c r="E34" s="130"/>
      <c r="F34" s="455" t="s">
        <v>223</v>
      </c>
      <c r="G34" s="455"/>
      <c r="H34" s="324">
        <v>1000</v>
      </c>
      <c r="I34" s="240">
        <f>H34/H35</f>
        <v>0.5</v>
      </c>
      <c r="K34" s="187"/>
      <c r="L34" s="187"/>
      <c r="M34" s="187"/>
      <c r="N34" s="187"/>
      <c r="O34" s="123"/>
      <c r="P34" s="123"/>
      <c r="R34" s="134"/>
      <c r="S34" s="123"/>
      <c r="T34" s="123"/>
    </row>
    <row r="35" spans="2:24" ht="17.25" thickTop="1" x14ac:dyDescent="0.3">
      <c r="B35" s="129"/>
      <c r="C35" s="417"/>
      <c r="D35" s="417"/>
      <c r="F35" s="449" t="s">
        <v>57</v>
      </c>
      <c r="G35" s="449"/>
      <c r="H35" s="274">
        <v>2000</v>
      </c>
      <c r="I35" s="11"/>
      <c r="O35" s="123"/>
      <c r="P35" s="123"/>
      <c r="R35" s="134"/>
      <c r="S35" s="123"/>
      <c r="T35" s="123"/>
      <c r="U35" s="123"/>
      <c r="V35" s="123"/>
      <c r="W35" s="123"/>
      <c r="X35" s="123"/>
    </row>
    <row r="36" spans="2:24" x14ac:dyDescent="0.3">
      <c r="B36" s="129"/>
      <c r="C36" s="417"/>
      <c r="D36" s="417"/>
      <c r="I36" s="11"/>
      <c r="O36" s="123"/>
      <c r="P36" s="123"/>
      <c r="R36" s="134"/>
      <c r="S36" s="123"/>
      <c r="T36" s="123"/>
      <c r="U36" s="123"/>
      <c r="V36" s="123"/>
      <c r="W36" s="123"/>
      <c r="X36" s="123"/>
    </row>
    <row r="37" spans="2:24" x14ac:dyDescent="0.3">
      <c r="B37" s="129"/>
      <c r="C37" s="417"/>
      <c r="D37" s="417"/>
      <c r="I37" s="11"/>
      <c r="O37" s="123"/>
      <c r="P37" s="123"/>
      <c r="R37" s="134"/>
      <c r="S37" s="123"/>
      <c r="T37" s="123"/>
      <c r="U37" s="123"/>
      <c r="V37" s="123"/>
      <c r="W37" s="123"/>
      <c r="X37" s="123"/>
    </row>
    <row r="38" spans="2:24" x14ac:dyDescent="0.3">
      <c r="B38" s="129"/>
      <c r="C38" s="417"/>
      <c r="D38" s="417"/>
      <c r="F38" s="123"/>
      <c r="G38" s="123"/>
      <c r="H38" s="123"/>
      <c r="I38" s="123"/>
      <c r="K38" s="123"/>
      <c r="L38" s="123"/>
      <c r="M38" s="123"/>
      <c r="N38" s="123"/>
      <c r="O38" s="123"/>
      <c r="P38" s="123"/>
      <c r="Q38" s="123"/>
      <c r="U38" s="123"/>
      <c r="V38" s="123"/>
      <c r="W38" s="123"/>
      <c r="X38" s="123"/>
    </row>
    <row r="39" spans="2:24" ht="16.5" customHeight="1" x14ac:dyDescent="0.3">
      <c r="C39" s="176"/>
      <c r="D39" s="176"/>
      <c r="O39" s="123"/>
      <c r="P39" s="123"/>
      <c r="U39" s="123"/>
      <c r="V39" s="123"/>
      <c r="W39" s="123"/>
      <c r="X39" s="123"/>
    </row>
    <row r="40" spans="2:24" x14ac:dyDescent="0.3">
      <c r="B40" s="129">
        <v>3</v>
      </c>
      <c r="C40" s="417" t="s">
        <v>353</v>
      </c>
      <c r="D40" s="417"/>
      <c r="F40" s="453" t="s">
        <v>202</v>
      </c>
      <c r="G40" s="453"/>
      <c r="H40" s="453"/>
      <c r="I40" s="453"/>
      <c r="O40" s="123"/>
      <c r="P40" s="123"/>
      <c r="R40" s="123"/>
      <c r="S40" s="123"/>
      <c r="U40" s="123"/>
      <c r="V40" s="123"/>
      <c r="W40" s="123"/>
      <c r="X40" s="123"/>
    </row>
    <row r="41" spans="2:24" x14ac:dyDescent="0.3">
      <c r="B41" s="129"/>
      <c r="C41" s="417"/>
      <c r="D41" s="417"/>
      <c r="F41" s="453"/>
      <c r="G41" s="453"/>
      <c r="H41" s="453"/>
      <c r="I41" s="453"/>
      <c r="R41" s="139"/>
      <c r="S41" s="123"/>
      <c r="U41" s="123"/>
      <c r="V41" s="123"/>
      <c r="W41" s="123"/>
      <c r="X41" s="123"/>
    </row>
    <row r="42" spans="2:24" x14ac:dyDescent="0.3">
      <c r="B42" s="129"/>
      <c r="C42" s="417"/>
      <c r="D42" s="417"/>
      <c r="F42" s="142" t="s">
        <v>58</v>
      </c>
      <c r="G42" s="140">
        <v>0.63</v>
      </c>
      <c r="K42" s="123" t="s">
        <v>354</v>
      </c>
      <c r="L42" s="123" t="s">
        <v>65</v>
      </c>
      <c r="M42" s="144" t="s">
        <v>64</v>
      </c>
      <c r="N42" s="133">
        <v>43123</v>
      </c>
      <c r="R42" s="139"/>
      <c r="S42" s="123"/>
      <c r="U42" s="123"/>
      <c r="V42" s="123"/>
      <c r="W42" s="123"/>
      <c r="X42" s="123"/>
    </row>
    <row r="43" spans="2:24" x14ac:dyDescent="0.3">
      <c r="B43" s="129"/>
      <c r="C43" s="417"/>
      <c r="D43" s="417"/>
      <c r="F43" s="20" t="s">
        <v>59</v>
      </c>
      <c r="G43" s="140">
        <v>0</v>
      </c>
      <c r="R43" s="139"/>
      <c r="S43" s="123"/>
      <c r="U43" s="123"/>
      <c r="V43" s="123"/>
      <c r="W43" s="123"/>
      <c r="X43" s="123"/>
    </row>
    <row r="44" spans="2:24" x14ac:dyDescent="0.3">
      <c r="B44" s="129"/>
      <c r="C44" s="417"/>
      <c r="D44" s="417"/>
      <c r="R44" s="139"/>
      <c r="S44" s="123"/>
      <c r="U44" s="123"/>
      <c r="V44" s="123"/>
      <c r="W44" s="123"/>
      <c r="X44" s="123"/>
    </row>
    <row r="45" spans="2:24" x14ac:dyDescent="0.3">
      <c r="B45" s="129"/>
      <c r="C45" s="417"/>
      <c r="D45" s="417"/>
      <c r="R45" s="139"/>
      <c r="S45" s="123"/>
      <c r="U45" s="123"/>
      <c r="V45" s="123"/>
      <c r="W45" s="123"/>
      <c r="X45" s="123"/>
    </row>
    <row r="46" spans="2:24" ht="16.5" customHeight="1" x14ac:dyDescent="0.3">
      <c r="C46" s="176"/>
      <c r="D46" s="176"/>
      <c r="O46" s="117"/>
      <c r="R46" s="123"/>
      <c r="S46" s="123"/>
      <c r="U46" s="123"/>
      <c r="V46" s="123"/>
      <c r="W46" s="123"/>
      <c r="X46" s="123"/>
    </row>
    <row r="47" spans="2:24" ht="46.5" customHeight="1" x14ac:dyDescent="0.3">
      <c r="B47" s="129">
        <v>4</v>
      </c>
      <c r="C47" s="417" t="s">
        <v>203</v>
      </c>
      <c r="D47" s="417"/>
      <c r="F47" s="42" t="s">
        <v>56</v>
      </c>
      <c r="G47" s="42" t="s">
        <v>130</v>
      </c>
      <c r="H47" s="42"/>
      <c r="K47"/>
      <c r="L47"/>
      <c r="O47" s="117"/>
      <c r="R47" s="123"/>
      <c r="S47" s="123"/>
      <c r="U47" s="123"/>
      <c r="V47" s="123"/>
      <c r="W47" s="123"/>
      <c r="X47" s="123"/>
    </row>
    <row r="48" spans="2:24" x14ac:dyDescent="0.3">
      <c r="B48" s="129"/>
      <c r="C48" s="417"/>
      <c r="D48" s="417"/>
      <c r="F48" s="178" t="s">
        <v>58</v>
      </c>
      <c r="G48" s="325">
        <f>I34*G50</f>
        <v>200000000</v>
      </c>
      <c r="J48" s="176"/>
      <c r="K48" s="176"/>
      <c r="L48" s="176"/>
      <c r="M48" s="176"/>
      <c r="N48" s="176"/>
      <c r="O48" s="176"/>
      <c r="P48" s="176"/>
      <c r="R48" s="123"/>
      <c r="S48" s="123"/>
      <c r="U48" s="123"/>
      <c r="V48" s="123"/>
      <c r="W48" s="123"/>
      <c r="X48" s="123"/>
    </row>
    <row r="49" spans="1:24" ht="17.25" thickBot="1" x14ac:dyDescent="0.35">
      <c r="B49" s="129"/>
      <c r="C49" s="417"/>
      <c r="D49" s="417"/>
      <c r="F49" s="176" t="s">
        <v>59</v>
      </c>
      <c r="G49" s="326">
        <f>G50*I33</f>
        <v>200000000</v>
      </c>
      <c r="H49" s="59"/>
      <c r="J49" s="20"/>
      <c r="O49" s="141"/>
      <c r="R49" s="123"/>
      <c r="S49" s="123"/>
      <c r="U49" s="123"/>
      <c r="V49" s="123"/>
      <c r="W49" s="123"/>
      <c r="X49" s="123"/>
    </row>
    <row r="50" spans="1:24" ht="17.25" thickTop="1" x14ac:dyDescent="0.3">
      <c r="B50" s="129"/>
      <c r="C50" s="417"/>
      <c r="D50" s="417"/>
      <c r="F50" s="350" t="s">
        <v>57</v>
      </c>
      <c r="G50" s="245">
        <v>400000000</v>
      </c>
      <c r="O50" s="117"/>
      <c r="R50" s="123"/>
      <c r="S50" s="123"/>
      <c r="U50" s="123"/>
      <c r="V50" s="123"/>
      <c r="W50" s="123"/>
      <c r="X50" s="123"/>
    </row>
    <row r="51" spans="1:24" ht="16.5" customHeight="1" x14ac:dyDescent="0.3">
      <c r="B51" s="129"/>
      <c r="C51" s="417"/>
      <c r="D51" s="417"/>
      <c r="O51" s="117"/>
      <c r="P51" s="19"/>
      <c r="R51" s="123"/>
      <c r="S51" s="123"/>
      <c r="U51" s="123"/>
      <c r="V51" s="123"/>
      <c r="W51" s="123"/>
      <c r="X51" s="123"/>
    </row>
    <row r="52" spans="1:24" ht="16.5" customHeight="1" x14ac:dyDescent="0.3">
      <c r="A52" s="29"/>
      <c r="B52" s="29"/>
      <c r="C52" s="183"/>
      <c r="D52" s="183"/>
      <c r="O52" s="54"/>
      <c r="P52" s="54"/>
      <c r="R52" s="123"/>
      <c r="S52" s="123"/>
      <c r="U52" s="123"/>
      <c r="V52" s="123"/>
      <c r="W52" s="123"/>
      <c r="X52" s="123"/>
    </row>
    <row r="53" spans="1:24" ht="99" x14ac:dyDescent="0.3">
      <c r="B53" s="129">
        <v>5</v>
      </c>
      <c r="C53" s="436" t="s">
        <v>355</v>
      </c>
      <c r="D53" s="436"/>
      <c r="F53" s="42" t="s">
        <v>60</v>
      </c>
      <c r="G53" s="60" t="s">
        <v>226</v>
      </c>
      <c r="H53" s="60" t="s">
        <v>227</v>
      </c>
      <c r="I53" s="42" t="s">
        <v>63</v>
      </c>
      <c r="O53" s="54"/>
      <c r="P53" s="54"/>
    </row>
    <row r="54" spans="1:24" x14ac:dyDescent="0.3">
      <c r="B54" s="129"/>
      <c r="C54" s="436"/>
      <c r="D54" s="436"/>
      <c r="F54" s="142" t="s">
        <v>58</v>
      </c>
      <c r="G54" s="258">
        <f>H20</f>
        <v>9.0909090909090917</v>
      </c>
      <c r="H54" s="328">
        <f>G54-G54*G42</f>
        <v>3.3636363636363642</v>
      </c>
      <c r="I54" s="256">
        <f>G48/365*H54</f>
        <v>1843088.4184308844</v>
      </c>
      <c r="O54" s="54"/>
      <c r="P54" s="54"/>
    </row>
    <row r="55" spans="1:24" ht="17.25" thickBot="1" x14ac:dyDescent="0.35">
      <c r="B55" s="129"/>
      <c r="C55" s="436"/>
      <c r="D55" s="436"/>
      <c r="F55" s="20" t="s">
        <v>59</v>
      </c>
      <c r="G55" s="327">
        <f>H20</f>
        <v>9.0909090909090917</v>
      </c>
      <c r="H55" s="329">
        <f>G43*G55</f>
        <v>0</v>
      </c>
      <c r="I55" s="304">
        <f>H55*G49/365</f>
        <v>0</v>
      </c>
      <c r="O55" s="142"/>
      <c r="P55" s="54"/>
    </row>
    <row r="56" spans="1:24" ht="16.5" customHeight="1" thickTop="1" x14ac:dyDescent="0.3">
      <c r="B56" s="129"/>
      <c r="C56" s="436"/>
      <c r="D56" s="436"/>
      <c r="F56" s="437" t="s">
        <v>204</v>
      </c>
      <c r="G56" s="437"/>
      <c r="H56" s="438"/>
      <c r="I56" s="456">
        <f>SUM(I54:I55)</f>
        <v>1843088.4184308844</v>
      </c>
      <c r="O56" s="142"/>
      <c r="P56" s="54"/>
    </row>
    <row r="57" spans="1:24" ht="16.5" customHeight="1" thickBot="1" x14ac:dyDescent="0.35">
      <c r="B57" s="129"/>
      <c r="C57" s="436"/>
      <c r="D57" s="436"/>
      <c r="F57" s="439"/>
      <c r="G57" s="439"/>
      <c r="H57" s="440"/>
      <c r="I57" s="451"/>
      <c r="O57" s="142"/>
      <c r="P57" s="54"/>
    </row>
    <row r="58" spans="1:24" ht="16.5" customHeight="1" x14ac:dyDescent="0.3">
      <c r="B58" s="20"/>
    </row>
    <row r="59" spans="1:24" x14ac:dyDescent="0.3">
      <c r="B59" s="20"/>
    </row>
    <row r="60" spans="1:24" x14ac:dyDescent="0.3">
      <c r="B60" s="20"/>
    </row>
    <row r="61" spans="1:24" x14ac:dyDescent="0.3">
      <c r="B61" s="20"/>
    </row>
    <row r="62" spans="1:24" x14ac:dyDescent="0.3">
      <c r="B62" s="20"/>
    </row>
    <row r="63" spans="1:24" ht="17.25" customHeight="1" x14ac:dyDescent="0.3">
      <c r="B63" s="20"/>
    </row>
    <row r="64" spans="1:24" x14ac:dyDescent="0.3">
      <c r="D64" s="145"/>
    </row>
  </sheetData>
  <mergeCells count="19">
    <mergeCell ref="C53:D57"/>
    <mergeCell ref="L2:N2"/>
    <mergeCell ref="L3:N3"/>
    <mergeCell ref="L4:N4"/>
    <mergeCell ref="F56:H57"/>
    <mergeCell ref="I56:I57"/>
    <mergeCell ref="B11:N13"/>
    <mergeCell ref="C16:N16"/>
    <mergeCell ref="C19:D30"/>
    <mergeCell ref="F40:I41"/>
    <mergeCell ref="C32:D38"/>
    <mergeCell ref="C40:D45"/>
    <mergeCell ref="C47:D51"/>
    <mergeCell ref="L5:N5"/>
    <mergeCell ref="H19:I19"/>
    <mergeCell ref="F32:G32"/>
    <mergeCell ref="F33:G33"/>
    <mergeCell ref="F34:G34"/>
    <mergeCell ref="F35:G35"/>
  </mergeCells>
  <hyperlinks>
    <hyperlink ref="M42" r:id="rId1" xr:uid="{00000000-0004-0000-0400-000000000000}"/>
    <hyperlink ref="M20" r:id="rId2" xr:uid="{00000000-0004-0000-0400-000001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U71"/>
  <sheetViews>
    <sheetView zoomScale="80" zoomScaleNormal="80" zoomScaleSheetLayoutView="100" workbookViewId="0">
      <selection activeCell="C5" sqref="C5:D6"/>
    </sheetView>
  </sheetViews>
  <sheetFormatPr defaultRowHeight="16.5" x14ac:dyDescent="0.3"/>
  <cols>
    <col min="1" max="1" width="3.5" style="20" customWidth="1"/>
    <col min="2" max="2" width="3.125" style="122" customWidth="1"/>
    <col min="3" max="3" width="25.375" style="20" customWidth="1"/>
    <col min="4" max="4" width="48.375" style="20" customWidth="1"/>
    <col min="5" max="5" width="1.625" style="123" customWidth="1"/>
    <col min="6" max="6" width="19.5" style="20" customWidth="1"/>
    <col min="7" max="8" width="19.625" style="20" customWidth="1"/>
    <col min="9" max="10" width="16.875" style="274" customWidth="1"/>
    <col min="11" max="11" width="1.625" style="123" customWidth="1"/>
    <col min="12" max="12" width="15.125" style="20" customWidth="1"/>
    <col min="13" max="14" width="11.25" style="20" customWidth="1"/>
    <col min="15" max="15" width="11" style="20" customWidth="1"/>
    <col min="16" max="20" width="9" style="20"/>
    <col min="21" max="21" width="14.125" style="20" customWidth="1"/>
    <col min="22" max="16384" width="9" style="20"/>
  </cols>
  <sheetData>
    <row r="1" spans="2:15" x14ac:dyDescent="0.3">
      <c r="K1" s="20"/>
    </row>
    <row r="2" spans="2:15" x14ac:dyDescent="0.3">
      <c r="C2" s="26" t="s">
        <v>10</v>
      </c>
      <c r="D2" s="108" t="s">
        <v>15</v>
      </c>
      <c r="E2" s="74"/>
      <c r="K2" s="20"/>
      <c r="L2" s="26" t="s">
        <v>23</v>
      </c>
      <c r="M2" s="427" t="s">
        <v>140</v>
      </c>
      <c r="N2" s="427"/>
      <c r="O2" s="427"/>
    </row>
    <row r="3" spans="2:15" x14ac:dyDescent="0.3">
      <c r="C3" s="26" t="s">
        <v>11</v>
      </c>
      <c r="D3" s="165" t="s">
        <v>248</v>
      </c>
      <c r="K3" s="20"/>
      <c r="M3" s="441" t="s">
        <v>13</v>
      </c>
      <c r="N3" s="441"/>
      <c r="O3" s="441"/>
    </row>
    <row r="4" spans="2:15" ht="17.25" thickBot="1" x14ac:dyDescent="0.35">
      <c r="C4" s="26" t="s">
        <v>22</v>
      </c>
      <c r="D4" s="108" t="s">
        <v>185</v>
      </c>
      <c r="K4" s="20"/>
      <c r="M4" s="442" t="s">
        <v>141</v>
      </c>
      <c r="N4" s="442"/>
      <c r="O4" s="442"/>
    </row>
    <row r="5" spans="2:15" ht="17.25" thickBot="1" x14ac:dyDescent="0.35">
      <c r="C5" s="26"/>
      <c r="D5" s="108"/>
      <c r="K5" s="20"/>
      <c r="M5" s="444" t="s">
        <v>55</v>
      </c>
      <c r="N5" s="445"/>
      <c r="O5" s="446"/>
    </row>
    <row r="6" spans="2:15" s="274" customFormat="1" x14ac:dyDescent="0.3">
      <c r="B6" s="122"/>
      <c r="C6" s="207"/>
      <c r="D6" s="32"/>
      <c r="E6" s="227"/>
      <c r="M6" s="303"/>
      <c r="N6" s="303"/>
      <c r="O6" s="303"/>
    </row>
    <row r="7" spans="2:15" s="274" customFormat="1" x14ac:dyDescent="0.3">
      <c r="B7" s="122"/>
      <c r="C7" s="207" t="s">
        <v>215</v>
      </c>
      <c r="D7" s="358">
        <f>G59</f>
        <v>3502500</v>
      </c>
      <c r="E7" s="227"/>
      <c r="M7" s="303"/>
      <c r="N7" s="303"/>
      <c r="O7" s="303"/>
    </row>
    <row r="8" spans="2:15" ht="72.75" customHeight="1" x14ac:dyDescent="0.3">
      <c r="B8" s="124"/>
      <c r="C8" s="73" t="s">
        <v>12</v>
      </c>
      <c r="D8" s="148" t="s">
        <v>186</v>
      </c>
      <c r="E8" s="126"/>
      <c r="F8" s="127"/>
      <c r="G8" s="127"/>
      <c r="H8" s="127"/>
      <c r="I8" s="127"/>
      <c r="J8" s="127"/>
      <c r="K8" s="127"/>
      <c r="L8" s="127"/>
      <c r="M8" s="127"/>
      <c r="N8" s="127"/>
      <c r="O8" s="127"/>
    </row>
    <row r="9" spans="2:15" x14ac:dyDescent="0.3">
      <c r="K9" s="20"/>
    </row>
    <row r="10" spans="2:15" x14ac:dyDescent="0.3">
      <c r="B10" s="27" t="s">
        <v>14</v>
      </c>
      <c r="C10" s="128"/>
      <c r="D10" s="128"/>
      <c r="E10" s="128"/>
      <c r="F10" s="128"/>
      <c r="G10" s="128"/>
      <c r="H10" s="128"/>
      <c r="I10" s="228"/>
      <c r="J10" s="228"/>
      <c r="K10" s="128"/>
      <c r="L10" s="128"/>
      <c r="M10" s="128"/>
      <c r="N10" s="128"/>
      <c r="O10" s="128"/>
    </row>
    <row r="11" spans="2:15" ht="16.5" customHeight="1" x14ac:dyDescent="0.3">
      <c r="B11" s="452" t="s">
        <v>356</v>
      </c>
      <c r="C11" s="452"/>
      <c r="D11" s="452"/>
      <c r="E11" s="452"/>
      <c r="F11" s="452"/>
      <c r="G11" s="452"/>
      <c r="H11" s="452"/>
      <c r="I11" s="452"/>
      <c r="J11" s="452"/>
      <c r="K11" s="452"/>
      <c r="L11" s="452"/>
      <c r="M11" s="452"/>
      <c r="N11" s="452"/>
      <c r="O11" s="452"/>
    </row>
    <row r="12" spans="2:15" ht="16.5" customHeight="1" x14ac:dyDescent="0.3">
      <c r="B12" s="452"/>
      <c r="C12" s="452"/>
      <c r="D12" s="452"/>
      <c r="E12" s="452"/>
      <c r="F12" s="452"/>
      <c r="G12" s="452"/>
      <c r="H12" s="452"/>
      <c r="I12" s="452"/>
      <c r="J12" s="452"/>
      <c r="K12" s="452"/>
      <c r="L12" s="452"/>
      <c r="M12" s="452"/>
      <c r="N12" s="452"/>
      <c r="O12" s="452"/>
    </row>
    <row r="13" spans="2:15" s="274" customFormat="1" ht="16.5" customHeight="1" x14ac:dyDescent="0.3">
      <c r="B13" s="452"/>
      <c r="C13" s="452"/>
      <c r="D13" s="452"/>
      <c r="E13" s="452"/>
      <c r="F13" s="452"/>
      <c r="G13" s="452"/>
      <c r="H13" s="452"/>
      <c r="I13" s="452"/>
      <c r="J13" s="452"/>
      <c r="K13" s="452"/>
      <c r="L13" s="452"/>
      <c r="M13" s="452"/>
      <c r="N13" s="452"/>
      <c r="O13" s="452"/>
    </row>
    <row r="14" spans="2:15" x14ac:dyDescent="0.3">
      <c r="B14" s="452"/>
      <c r="C14" s="452"/>
      <c r="D14" s="452"/>
      <c r="E14" s="452"/>
      <c r="F14" s="452"/>
      <c r="G14" s="452"/>
      <c r="H14" s="452"/>
      <c r="I14" s="452"/>
      <c r="J14" s="452"/>
      <c r="K14" s="452"/>
      <c r="L14" s="452"/>
      <c r="M14" s="452"/>
      <c r="N14" s="452"/>
      <c r="O14" s="452"/>
    </row>
    <row r="15" spans="2:15" x14ac:dyDescent="0.3">
      <c r="B15" s="121"/>
      <c r="C15" s="121"/>
      <c r="D15" s="121"/>
      <c r="E15" s="121"/>
      <c r="F15" s="121"/>
      <c r="G15" s="121"/>
      <c r="H15" s="121"/>
      <c r="I15" s="264"/>
      <c r="J15" s="264"/>
      <c r="K15" s="121"/>
      <c r="L15" s="121"/>
      <c r="M15" s="121"/>
      <c r="N15" s="121"/>
      <c r="O15" s="121"/>
    </row>
    <row r="16" spans="2:15" x14ac:dyDescent="0.3">
      <c r="B16" s="27" t="s">
        <v>16</v>
      </c>
      <c r="C16" s="128"/>
      <c r="D16" s="128"/>
      <c r="E16" s="128"/>
      <c r="F16" s="128"/>
      <c r="G16" s="128"/>
      <c r="H16" s="128"/>
      <c r="I16" s="228"/>
      <c r="J16" s="228"/>
      <c r="K16" s="128"/>
      <c r="L16" s="128"/>
      <c r="M16" s="128"/>
      <c r="N16" s="128"/>
      <c r="O16" s="128"/>
    </row>
    <row r="17" spans="1:15" ht="49.5" customHeight="1" x14ac:dyDescent="0.3">
      <c r="B17" s="129">
        <v>1</v>
      </c>
      <c r="C17" s="457" t="s">
        <v>357</v>
      </c>
      <c r="D17" s="457"/>
      <c r="E17" s="457"/>
      <c r="F17" s="457"/>
      <c r="G17" s="457"/>
      <c r="H17" s="457"/>
      <c r="I17" s="457"/>
      <c r="J17" s="457"/>
      <c r="K17" s="457"/>
      <c r="L17" s="457"/>
      <c r="M17" s="457"/>
      <c r="N17" s="457"/>
      <c r="O17" s="457"/>
    </row>
    <row r="18" spans="1:15" x14ac:dyDescent="0.3">
      <c r="K18" s="20"/>
    </row>
    <row r="19" spans="1:15" x14ac:dyDescent="0.3">
      <c r="B19" s="27" t="s">
        <v>26</v>
      </c>
      <c r="C19" s="128"/>
      <c r="D19" s="128"/>
      <c r="F19" s="25" t="s">
        <v>25</v>
      </c>
      <c r="G19" s="128"/>
      <c r="H19" s="128"/>
      <c r="I19" s="228"/>
      <c r="J19" s="228"/>
      <c r="L19" s="25" t="s">
        <v>24</v>
      </c>
      <c r="M19" s="25"/>
      <c r="N19" s="25"/>
      <c r="O19" s="128"/>
    </row>
    <row r="20" spans="1:15" ht="49.5" x14ac:dyDescent="0.3">
      <c r="B20" s="129">
        <v>1</v>
      </c>
      <c r="C20" s="417" t="s">
        <v>199</v>
      </c>
      <c r="D20" s="418"/>
      <c r="E20" s="20"/>
      <c r="K20" s="20"/>
      <c r="L20" s="45" t="s">
        <v>29</v>
      </c>
      <c r="M20" s="45" t="s">
        <v>34</v>
      </c>
      <c r="N20" s="45" t="s">
        <v>19</v>
      </c>
      <c r="O20" s="46" t="s">
        <v>31</v>
      </c>
    </row>
    <row r="21" spans="1:15" x14ac:dyDescent="0.3">
      <c r="B21" s="129"/>
      <c r="C21" s="418"/>
      <c r="D21" s="418"/>
      <c r="E21" s="20"/>
      <c r="K21" s="20"/>
    </row>
    <row r="22" spans="1:15" x14ac:dyDescent="0.3">
      <c r="B22" s="129"/>
      <c r="C22" s="418"/>
      <c r="D22" s="418"/>
      <c r="E22" s="20"/>
      <c r="K22" s="20"/>
    </row>
    <row r="23" spans="1:15" x14ac:dyDescent="0.3">
      <c r="B23" s="129"/>
      <c r="C23" s="418"/>
      <c r="D23" s="418"/>
      <c r="E23" s="20"/>
      <c r="K23" s="20"/>
    </row>
    <row r="24" spans="1:15" ht="16.5" customHeight="1" x14ac:dyDescent="0.3">
      <c r="B24" s="129"/>
      <c r="C24" s="418"/>
      <c r="D24" s="418"/>
      <c r="E24" s="20"/>
      <c r="K24" s="20"/>
    </row>
    <row r="25" spans="1:15" x14ac:dyDescent="0.3">
      <c r="B25" s="129"/>
      <c r="C25" s="418"/>
      <c r="D25" s="418"/>
      <c r="E25" s="20"/>
      <c r="K25" s="20"/>
    </row>
    <row r="26" spans="1:15" x14ac:dyDescent="0.3">
      <c r="B26" s="129"/>
      <c r="C26" s="418"/>
      <c r="D26" s="418"/>
      <c r="E26" s="20"/>
      <c r="K26" s="20"/>
    </row>
    <row r="27" spans="1:15" ht="16.5" customHeight="1" x14ac:dyDescent="0.3">
      <c r="B27" s="129"/>
      <c r="C27" s="418"/>
      <c r="D27" s="418"/>
      <c r="E27" s="20"/>
      <c r="K27" s="20"/>
    </row>
    <row r="28" spans="1:15" s="274" customFormat="1" x14ac:dyDescent="0.3">
      <c r="A28" s="347"/>
      <c r="B28" s="347"/>
      <c r="C28" s="265"/>
      <c r="D28" s="265"/>
    </row>
    <row r="29" spans="1:15" s="274" customFormat="1" ht="66" x14ac:dyDescent="0.3">
      <c r="B29" s="267">
        <v>2</v>
      </c>
      <c r="C29" s="436" t="s">
        <v>358</v>
      </c>
      <c r="D29" s="436"/>
      <c r="F29" s="211" t="s">
        <v>289</v>
      </c>
      <c r="G29" s="211" t="s">
        <v>158</v>
      </c>
      <c r="H29" s="211" t="s">
        <v>187</v>
      </c>
      <c r="I29" s="211" t="s">
        <v>188</v>
      </c>
      <c r="J29" s="211" t="s">
        <v>189</v>
      </c>
    </row>
    <row r="30" spans="1:15" s="274" customFormat="1" x14ac:dyDescent="0.3">
      <c r="B30" s="267"/>
      <c r="C30" s="436"/>
      <c r="D30" s="436"/>
      <c r="F30" s="274" t="s">
        <v>288</v>
      </c>
      <c r="G30" s="371">
        <v>100000</v>
      </c>
      <c r="H30" s="360">
        <v>700</v>
      </c>
      <c r="I30" s="393">
        <v>0.25</v>
      </c>
      <c r="J30" s="393">
        <v>0.05</v>
      </c>
      <c r="L30" s="20" t="s">
        <v>259</v>
      </c>
      <c r="M30" s="20"/>
      <c r="N30" s="20"/>
      <c r="O30" s="66">
        <v>43149</v>
      </c>
    </row>
    <row r="31" spans="1:15" s="274" customFormat="1" x14ac:dyDescent="0.3">
      <c r="B31" s="267"/>
      <c r="C31" s="436"/>
      <c r="D31" s="436"/>
      <c r="L31" s="362" t="s">
        <v>69</v>
      </c>
      <c r="M31" s="94" t="s">
        <v>70</v>
      </c>
      <c r="N31" s="363" t="s">
        <v>71</v>
      </c>
      <c r="O31" s="364">
        <v>40026</v>
      </c>
    </row>
    <row r="32" spans="1:15" s="274" customFormat="1" x14ac:dyDescent="0.3">
      <c r="B32" s="267"/>
      <c r="C32" s="436"/>
      <c r="D32" s="436"/>
      <c r="F32" s="453" t="s">
        <v>191</v>
      </c>
      <c r="G32" s="453"/>
      <c r="H32" s="453"/>
      <c r="I32" s="453"/>
      <c r="J32" s="453"/>
    </row>
    <row r="33" spans="2:21" s="274" customFormat="1" x14ac:dyDescent="0.3">
      <c r="B33" s="267"/>
      <c r="C33" s="436"/>
      <c r="D33" s="436"/>
      <c r="F33" s="201">
        <v>0.75</v>
      </c>
      <c r="G33" s="271"/>
      <c r="H33" s="271"/>
      <c r="I33" s="271"/>
    </row>
    <row r="34" spans="2:21" s="274" customFormat="1" x14ac:dyDescent="0.3">
      <c r="B34" s="349"/>
      <c r="C34" s="436"/>
      <c r="D34" s="436"/>
    </row>
    <row r="35" spans="2:21" ht="23.25" customHeight="1" x14ac:dyDescent="0.3">
      <c r="B35" s="129"/>
      <c r="C35" s="436"/>
      <c r="D35" s="436"/>
      <c r="E35" s="130"/>
      <c r="F35" s="453" t="s">
        <v>190</v>
      </c>
      <c r="G35" s="453"/>
      <c r="H35" s="453"/>
      <c r="I35" s="453"/>
      <c r="J35" s="453"/>
      <c r="K35"/>
      <c r="L35"/>
      <c r="M35"/>
      <c r="N35"/>
      <c r="O35"/>
      <c r="P35"/>
      <c r="Q35" s="123"/>
      <c r="S35" s="134"/>
      <c r="T35" s="123"/>
      <c r="U35" s="123"/>
    </row>
    <row r="36" spans="2:21" ht="16.5" customHeight="1" x14ac:dyDescent="0.3">
      <c r="B36" s="129"/>
      <c r="C36" s="436"/>
      <c r="D36" s="436"/>
      <c r="E36" s="130"/>
      <c r="F36" s="256">
        <f>SUMPRODUCT(G30:G30,H30:H30,J30:J30)*0.75</f>
        <v>2625000</v>
      </c>
      <c r="G36" s="274"/>
      <c r="H36" s="274"/>
      <c r="K36" s="271"/>
      <c r="L36" s="271"/>
      <c r="M36"/>
      <c r="N36"/>
      <c r="O36"/>
      <c r="P36"/>
      <c r="Q36" s="123"/>
      <c r="S36" s="134"/>
      <c r="T36" s="123"/>
      <c r="U36" s="123"/>
    </row>
    <row r="37" spans="2:21" x14ac:dyDescent="0.3">
      <c r="B37" s="129"/>
      <c r="C37" s="436"/>
      <c r="D37" s="436"/>
      <c r="E37" s="130"/>
      <c r="I37" s="20"/>
      <c r="J37" s="20"/>
      <c r="K37" s="271"/>
      <c r="L37" s="271"/>
      <c r="M37"/>
      <c r="N37"/>
      <c r="O37"/>
      <c r="P37"/>
      <c r="Q37" s="123"/>
      <c r="S37" s="134"/>
      <c r="T37" s="123"/>
      <c r="U37" s="123"/>
    </row>
    <row r="38" spans="2:21" s="187" customFormat="1" ht="16.5" customHeight="1" x14ac:dyDescent="0.3">
      <c r="B38" s="192"/>
      <c r="C38" s="436"/>
      <c r="D38" s="436"/>
      <c r="E38" s="193"/>
      <c r="K38" s="271"/>
      <c r="L38" s="271"/>
      <c r="M38"/>
      <c r="N38"/>
      <c r="O38"/>
      <c r="P38"/>
      <c r="Q38" s="191"/>
      <c r="S38" s="194"/>
      <c r="T38" s="191"/>
      <c r="U38" s="191"/>
    </row>
    <row r="39" spans="2:21" s="274" customFormat="1" ht="23.25" customHeight="1" x14ac:dyDescent="0.3">
      <c r="B39" s="349"/>
      <c r="C39" s="436"/>
      <c r="D39" s="436"/>
      <c r="E39" s="230"/>
      <c r="K39" s="271"/>
      <c r="L39" s="271"/>
      <c r="M39" s="271"/>
      <c r="N39" s="271"/>
      <c r="O39" s="271"/>
      <c r="P39" s="271"/>
      <c r="Q39" s="227"/>
      <c r="S39" s="233"/>
      <c r="T39" s="227"/>
      <c r="U39" s="227"/>
    </row>
    <row r="40" spans="2:21" x14ac:dyDescent="0.3">
      <c r="C40" s="136"/>
      <c r="D40" s="136"/>
      <c r="E40" s="130"/>
      <c r="F40" s="74"/>
      <c r="G40" s="74"/>
      <c r="H40" s="74"/>
      <c r="I40" s="269"/>
      <c r="J40" s="269"/>
      <c r="K40" s="74"/>
      <c r="L40" s="74"/>
      <c r="M40" s="74"/>
      <c r="N40" s="74"/>
      <c r="O40" s="74"/>
      <c r="P40" s="123"/>
      <c r="Q40" s="123"/>
      <c r="S40" s="134"/>
      <c r="T40" s="123"/>
      <c r="U40" s="123"/>
    </row>
    <row r="41" spans="2:21" ht="16.5" customHeight="1" x14ac:dyDescent="0.3">
      <c r="B41" s="20"/>
      <c r="F41"/>
      <c r="G41"/>
      <c r="H41"/>
      <c r="I41"/>
      <c r="J41"/>
      <c r="K41"/>
      <c r="L41"/>
      <c r="M41"/>
      <c r="N41" s="74"/>
      <c r="O41" s="74"/>
    </row>
    <row r="42" spans="2:21" ht="16.5" customHeight="1" x14ac:dyDescent="0.3">
      <c r="B42" s="129">
        <v>3</v>
      </c>
      <c r="C42" s="435" t="s">
        <v>359</v>
      </c>
      <c r="D42" s="435"/>
      <c r="F42" s="458" t="s">
        <v>98</v>
      </c>
      <c r="G42" s="458"/>
      <c r="H42" s="458"/>
      <c r="I42" s="458"/>
      <c r="J42"/>
      <c r="K42"/>
      <c r="L42"/>
      <c r="M42"/>
      <c r="N42" s="74"/>
      <c r="O42" s="74"/>
    </row>
    <row r="43" spans="2:21" ht="96.75" customHeight="1" x14ac:dyDescent="0.3">
      <c r="B43" s="129"/>
      <c r="C43" s="435"/>
      <c r="D43" s="435"/>
      <c r="F43" s="190" t="s">
        <v>122</v>
      </c>
      <c r="G43" s="190" t="s">
        <v>192</v>
      </c>
      <c r="H43" s="190" t="s">
        <v>197</v>
      </c>
      <c r="I43" s="190" t="s">
        <v>193</v>
      </c>
      <c r="J43"/>
      <c r="K43"/>
      <c r="L43"/>
      <c r="M43"/>
      <c r="N43" s="227"/>
      <c r="O43" s="227" t="s">
        <v>243</v>
      </c>
      <c r="P43" s="227"/>
    </row>
    <row r="44" spans="2:21" ht="33" x14ac:dyDescent="0.3">
      <c r="B44" s="129"/>
      <c r="C44" s="435"/>
      <c r="D44" s="435"/>
      <c r="F44" s="263" t="s">
        <v>194</v>
      </c>
      <c r="G44" s="296">
        <v>78</v>
      </c>
      <c r="H44" s="282">
        <v>90000</v>
      </c>
      <c r="I44" s="295">
        <v>0.5</v>
      </c>
      <c r="J44"/>
      <c r="K44"/>
      <c r="L44" t="s">
        <v>260</v>
      </c>
      <c r="M44"/>
      <c r="N44" s="227"/>
      <c r="O44" s="66">
        <v>43149</v>
      </c>
      <c r="P44" s="227"/>
    </row>
    <row r="45" spans="2:21" x14ac:dyDescent="0.3">
      <c r="B45" s="129"/>
      <c r="C45" s="435"/>
      <c r="D45" s="435"/>
      <c r="F45" s="274"/>
      <c r="G45" s="271"/>
      <c r="H45" s="271"/>
      <c r="I45" s="271"/>
      <c r="J45"/>
      <c r="K45"/>
      <c r="L45"/>
      <c r="M45"/>
      <c r="N45" s="227"/>
      <c r="O45" s="171"/>
      <c r="P45" s="227"/>
    </row>
    <row r="46" spans="2:21" x14ac:dyDescent="0.3">
      <c r="B46" s="129"/>
      <c r="C46" s="435"/>
      <c r="D46" s="435"/>
      <c r="F46" s="208"/>
      <c r="G46" s="208"/>
      <c r="H46" s="208"/>
      <c r="J46"/>
      <c r="K46"/>
      <c r="L46"/>
      <c r="M46"/>
      <c r="N46" s="227"/>
      <c r="O46" s="171"/>
      <c r="P46" s="227"/>
    </row>
    <row r="47" spans="2:21" x14ac:dyDescent="0.3">
      <c r="B47" s="129"/>
      <c r="C47" s="435"/>
      <c r="D47" s="435"/>
      <c r="F47" s="208"/>
      <c r="G47" s="208"/>
      <c r="H47" s="208"/>
      <c r="J47"/>
      <c r="K47"/>
      <c r="L47"/>
      <c r="M47"/>
      <c r="N47" s="227"/>
      <c r="O47" s="227"/>
      <c r="P47" s="227"/>
    </row>
    <row r="48" spans="2:21" s="274" customFormat="1" x14ac:dyDescent="0.3">
      <c r="B48" s="267"/>
      <c r="C48" s="435"/>
      <c r="D48" s="435"/>
      <c r="E48" s="227"/>
      <c r="F48" s="208"/>
      <c r="G48" s="208"/>
      <c r="H48" s="208"/>
      <c r="J48" s="271"/>
      <c r="K48" s="271"/>
      <c r="L48" s="271"/>
      <c r="M48" s="271"/>
      <c r="N48" s="227"/>
      <c r="O48" s="227"/>
      <c r="P48" s="227"/>
    </row>
    <row r="49" spans="1:13" x14ac:dyDescent="0.3">
      <c r="A49" s="136"/>
      <c r="B49" s="136"/>
      <c r="C49" s="136"/>
      <c r="D49" s="136"/>
      <c r="F49" s="87"/>
      <c r="G49" s="274"/>
      <c r="H49" s="274"/>
      <c r="J49"/>
      <c r="K49"/>
      <c r="L49"/>
      <c r="M49"/>
    </row>
    <row r="50" spans="1:13" ht="88.5" customHeight="1" x14ac:dyDescent="0.3">
      <c r="A50" s="136"/>
      <c r="B50" s="129">
        <v>4</v>
      </c>
      <c r="C50" s="436" t="s">
        <v>290</v>
      </c>
      <c r="D50" s="436"/>
      <c r="F50" s="190" t="s">
        <v>80</v>
      </c>
      <c r="G50" s="190" t="s">
        <v>168</v>
      </c>
      <c r="H50" s="190" t="s">
        <v>195</v>
      </c>
      <c r="I50" s="297"/>
      <c r="J50"/>
      <c r="K50"/>
      <c r="L50"/>
      <c r="M50"/>
    </row>
    <row r="51" spans="1:13" x14ac:dyDescent="0.3">
      <c r="B51" s="129"/>
      <c r="C51" s="436"/>
      <c r="D51" s="436"/>
      <c r="F51" s="48">
        <v>2000</v>
      </c>
      <c r="G51" s="48">
        <f>0.75*F51</f>
        <v>1500</v>
      </c>
      <c r="H51" s="298">
        <f>F51-G51</f>
        <v>500</v>
      </c>
      <c r="I51" s="227"/>
      <c r="J51"/>
      <c r="K51"/>
      <c r="L51"/>
      <c r="M51"/>
    </row>
    <row r="52" spans="1:13" x14ac:dyDescent="0.3">
      <c r="B52" s="129"/>
      <c r="C52" s="436"/>
      <c r="D52" s="436"/>
      <c r="F52" s="87"/>
      <c r="G52" s="274"/>
      <c r="H52" s="274"/>
      <c r="J52"/>
      <c r="K52"/>
      <c r="L52"/>
      <c r="M52"/>
    </row>
    <row r="53" spans="1:13" ht="66" x14ac:dyDescent="0.3">
      <c r="B53" s="129"/>
      <c r="C53" s="436"/>
      <c r="D53" s="436"/>
      <c r="F53" s="190" t="s">
        <v>122</v>
      </c>
      <c r="G53" s="190" t="s">
        <v>196</v>
      </c>
      <c r="H53" s="190" t="s">
        <v>96</v>
      </c>
      <c r="I53" s="297"/>
      <c r="J53"/>
      <c r="K53"/>
      <c r="L53"/>
      <c r="M53"/>
    </row>
    <row r="54" spans="1:13" x14ac:dyDescent="0.3">
      <c r="B54" s="129"/>
      <c r="C54" s="436"/>
      <c r="D54" s="436"/>
      <c r="F54" s="30" t="s">
        <v>198</v>
      </c>
      <c r="G54" s="256">
        <f>I44*H44*G44/F51</f>
        <v>1755</v>
      </c>
      <c r="H54" s="299">
        <f>G54*H51</f>
        <v>877500</v>
      </c>
      <c r="J54"/>
      <c r="K54"/>
      <c r="L54"/>
      <c r="M54"/>
    </row>
    <row r="55" spans="1:13" x14ac:dyDescent="0.3">
      <c r="J55"/>
      <c r="K55"/>
      <c r="L55"/>
      <c r="M55"/>
    </row>
    <row r="56" spans="1:13" x14ac:dyDescent="0.3">
      <c r="B56" s="129">
        <v>5</v>
      </c>
      <c r="C56" s="417" t="s">
        <v>291</v>
      </c>
      <c r="D56" s="417"/>
      <c r="F56" s="114" t="s">
        <v>100</v>
      </c>
      <c r="G56" s="190"/>
      <c r="H56" s="268"/>
      <c r="I56" s="268"/>
      <c r="J56"/>
      <c r="K56"/>
      <c r="L56"/>
      <c r="M56"/>
    </row>
    <row r="57" spans="1:13" ht="33" x14ac:dyDescent="0.3">
      <c r="B57" s="129"/>
      <c r="C57" s="417"/>
      <c r="D57" s="417"/>
      <c r="F57" s="30" t="s">
        <v>95</v>
      </c>
      <c r="G57" s="152">
        <f>F36</f>
        <v>2625000</v>
      </c>
      <c r="H57" s="271"/>
      <c r="I57" s="271"/>
      <c r="J57"/>
      <c r="K57"/>
      <c r="L57"/>
      <c r="M57"/>
    </row>
    <row r="58" spans="1:13" ht="16.5" customHeight="1" thickBot="1" x14ac:dyDescent="0.35">
      <c r="B58" s="129"/>
      <c r="C58" s="417"/>
      <c r="D58" s="417"/>
      <c r="F58" s="300" t="s">
        <v>98</v>
      </c>
      <c r="G58" s="161">
        <f>H54</f>
        <v>877500</v>
      </c>
      <c r="H58" s="271"/>
      <c r="I58" s="271"/>
      <c r="J58"/>
      <c r="K58"/>
      <c r="L58"/>
      <c r="M58"/>
    </row>
    <row r="59" spans="1:13" ht="18" thickTop="1" thickBot="1" x14ac:dyDescent="0.35">
      <c r="B59" s="129"/>
      <c r="C59" s="417"/>
      <c r="D59" s="417"/>
      <c r="F59" s="110" t="s">
        <v>57</v>
      </c>
      <c r="G59" s="113">
        <f>SUM(G57:G58)</f>
        <v>3502500</v>
      </c>
      <c r="H59" s="271"/>
      <c r="I59" s="271"/>
      <c r="J59"/>
      <c r="K59"/>
      <c r="L59"/>
      <c r="M59"/>
    </row>
    <row r="60" spans="1:13" x14ac:dyDescent="0.3">
      <c r="F60"/>
      <c r="G60"/>
      <c r="H60"/>
      <c r="I60"/>
      <c r="J60"/>
      <c r="K60"/>
      <c r="L60"/>
      <c r="M60"/>
    </row>
    <row r="61" spans="1:13" ht="16.5" customHeight="1" x14ac:dyDescent="0.3">
      <c r="F61"/>
      <c r="G61"/>
      <c r="H61"/>
      <c r="I61"/>
      <c r="J61"/>
      <c r="K61"/>
      <c r="L61"/>
      <c r="M61"/>
    </row>
    <row r="62" spans="1:13" x14ac:dyDescent="0.3">
      <c r="F62"/>
      <c r="G62"/>
      <c r="H62"/>
      <c r="I62"/>
      <c r="J62"/>
      <c r="K62"/>
      <c r="L62"/>
      <c r="M62"/>
    </row>
    <row r="63" spans="1:13" x14ac:dyDescent="0.3">
      <c r="F63"/>
      <c r="G63"/>
      <c r="H63"/>
      <c r="I63"/>
      <c r="J63"/>
    </row>
    <row r="64" spans="1:13" x14ac:dyDescent="0.3">
      <c r="F64"/>
      <c r="G64"/>
      <c r="H64"/>
      <c r="I64"/>
      <c r="J64"/>
    </row>
    <row r="65" spans="6:10" x14ac:dyDescent="0.3">
      <c r="F65"/>
      <c r="G65"/>
      <c r="H65"/>
      <c r="I65"/>
      <c r="J65"/>
    </row>
    <row r="66" spans="6:10" x14ac:dyDescent="0.3">
      <c r="F66"/>
      <c r="G66"/>
      <c r="H66"/>
      <c r="I66"/>
      <c r="J66"/>
    </row>
    <row r="67" spans="6:10" x14ac:dyDescent="0.3">
      <c r="F67"/>
      <c r="G67"/>
      <c r="H67"/>
      <c r="I67"/>
      <c r="J67"/>
    </row>
    <row r="68" spans="6:10" x14ac:dyDescent="0.3">
      <c r="F68"/>
      <c r="G68"/>
      <c r="H68"/>
      <c r="I68"/>
      <c r="J68"/>
    </row>
    <row r="69" spans="6:10" x14ac:dyDescent="0.3">
      <c r="F69"/>
      <c r="G69"/>
      <c r="H69"/>
      <c r="I69"/>
      <c r="J69"/>
    </row>
    <row r="70" spans="6:10" x14ac:dyDescent="0.3">
      <c r="F70"/>
      <c r="G70"/>
      <c r="H70"/>
      <c r="I70"/>
      <c r="J70"/>
    </row>
    <row r="71" spans="6:10" x14ac:dyDescent="0.3">
      <c r="F71"/>
      <c r="G71"/>
      <c r="H71"/>
      <c r="I71"/>
      <c r="J71"/>
    </row>
  </sheetData>
  <mergeCells count="14">
    <mergeCell ref="F32:J32"/>
    <mergeCell ref="F35:J35"/>
    <mergeCell ref="C56:D59"/>
    <mergeCell ref="C42:D48"/>
    <mergeCell ref="C50:D54"/>
    <mergeCell ref="C29:D39"/>
    <mergeCell ref="F42:I42"/>
    <mergeCell ref="C20:D27"/>
    <mergeCell ref="M5:O5"/>
    <mergeCell ref="M2:O2"/>
    <mergeCell ref="M3:O3"/>
    <mergeCell ref="M4:O4"/>
    <mergeCell ref="B11:O14"/>
    <mergeCell ref="C17:O17"/>
  </mergeCells>
  <hyperlinks>
    <hyperlink ref="N31" r:id="rId1"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W60"/>
  <sheetViews>
    <sheetView topLeftCell="A16" zoomScale="80" zoomScaleNormal="80" zoomScaleSheetLayoutView="100" workbookViewId="0">
      <selection activeCell="C27" sqref="C27:D39"/>
    </sheetView>
  </sheetViews>
  <sheetFormatPr defaultRowHeight="16.5" x14ac:dyDescent="0.3"/>
  <cols>
    <col min="1" max="1" width="3.5" style="52" customWidth="1"/>
    <col min="2" max="2" width="3.125" style="10" customWidth="1"/>
    <col min="3" max="3" width="24.125" style="20" customWidth="1"/>
    <col min="4" max="4" width="43.25" style="52" customWidth="1"/>
    <col min="5" max="5" width="1.875" style="184" customWidth="1"/>
    <col min="6" max="6" width="19.875" style="53" customWidth="1"/>
    <col min="7" max="8" width="19.875" style="52" customWidth="1"/>
    <col min="9" max="9" width="1.625" style="53" customWidth="1"/>
    <col min="10" max="10" width="14.625" style="52" customWidth="1"/>
    <col min="11" max="12" width="11.25" style="52" customWidth="1"/>
    <col min="13" max="13" width="11" style="52" customWidth="1"/>
    <col min="14" max="18" width="9" style="52"/>
    <col min="19" max="19" width="14.125" style="52" customWidth="1"/>
    <col min="20" max="16384" width="9" style="52"/>
  </cols>
  <sheetData>
    <row r="1" spans="2:13" x14ac:dyDescent="0.3">
      <c r="C1" s="52"/>
      <c r="I1" s="52"/>
    </row>
    <row r="2" spans="2:13" x14ac:dyDescent="0.3">
      <c r="C2" s="26" t="s">
        <v>10</v>
      </c>
      <c r="D2" s="13" t="s">
        <v>15</v>
      </c>
      <c r="E2" s="13"/>
      <c r="F2" s="32"/>
      <c r="I2" s="52"/>
      <c r="J2" s="26" t="s">
        <v>23</v>
      </c>
      <c r="K2" s="427" t="s">
        <v>140</v>
      </c>
      <c r="L2" s="427"/>
      <c r="M2" s="427"/>
    </row>
    <row r="3" spans="2:13" x14ac:dyDescent="0.3">
      <c r="C3" s="26" t="s">
        <v>11</v>
      </c>
      <c r="D3" s="165" t="s">
        <v>248</v>
      </c>
      <c r="E3" s="13"/>
      <c r="I3" s="52"/>
      <c r="K3" s="441" t="s">
        <v>13</v>
      </c>
      <c r="L3" s="441"/>
      <c r="M3" s="441"/>
    </row>
    <row r="4" spans="2:13" ht="17.25" thickBot="1" x14ac:dyDescent="0.35">
      <c r="C4" s="26" t="s">
        <v>22</v>
      </c>
      <c r="D4" s="13" t="s">
        <v>166</v>
      </c>
      <c r="E4" s="13"/>
      <c r="G4" s="20"/>
      <c r="I4" s="52"/>
      <c r="K4" s="442" t="s">
        <v>141</v>
      </c>
      <c r="L4" s="442"/>
      <c r="M4" s="442"/>
    </row>
    <row r="5" spans="2:13" ht="17.25" thickBot="1" x14ac:dyDescent="0.35">
      <c r="C5" s="26"/>
      <c r="D5" s="13"/>
      <c r="E5" s="13"/>
      <c r="I5" s="52"/>
      <c r="K5" s="444" t="s">
        <v>55</v>
      </c>
      <c r="L5" s="445"/>
      <c r="M5" s="446"/>
    </row>
    <row r="6" spans="2:13" s="271" customFormat="1" x14ac:dyDescent="0.3">
      <c r="B6" s="10"/>
      <c r="C6" s="207"/>
      <c r="D6" s="32"/>
      <c r="E6" s="13"/>
      <c r="F6" s="185"/>
      <c r="K6" s="303"/>
      <c r="L6" s="303"/>
      <c r="M6" s="303"/>
    </row>
    <row r="7" spans="2:13" s="271" customFormat="1" x14ac:dyDescent="0.3">
      <c r="B7" s="10"/>
      <c r="C7" s="207" t="s">
        <v>215</v>
      </c>
      <c r="D7" s="361">
        <f>H33</f>
        <v>2700000</v>
      </c>
      <c r="E7" s="13"/>
      <c r="F7" s="185"/>
      <c r="K7" s="303"/>
      <c r="L7" s="303"/>
      <c r="M7" s="303"/>
    </row>
    <row r="8" spans="2:13" ht="49.5" x14ac:dyDescent="0.3">
      <c r="B8" s="38"/>
      <c r="C8" s="73" t="s">
        <v>12</v>
      </c>
      <c r="D8" s="72" t="s">
        <v>167</v>
      </c>
      <c r="E8" s="72"/>
      <c r="F8" s="33"/>
      <c r="G8" s="7"/>
      <c r="H8" s="7"/>
      <c r="I8" s="7"/>
      <c r="J8" s="7"/>
      <c r="K8" s="7"/>
      <c r="L8" s="7"/>
      <c r="M8" s="7"/>
    </row>
    <row r="9" spans="2:13" x14ac:dyDescent="0.3">
      <c r="C9" s="52"/>
      <c r="I9" s="52"/>
    </row>
    <row r="10" spans="2:13" x14ac:dyDescent="0.3">
      <c r="B10" s="27" t="s">
        <v>14</v>
      </c>
      <c r="C10" s="6"/>
      <c r="D10" s="6"/>
      <c r="E10" s="6"/>
      <c r="F10" s="6"/>
      <c r="G10" s="6"/>
      <c r="H10" s="6"/>
      <c r="I10" s="6"/>
      <c r="J10" s="6"/>
      <c r="K10" s="6"/>
      <c r="L10" s="6"/>
      <c r="M10" s="6"/>
    </row>
    <row r="11" spans="2:13" ht="16.5" customHeight="1" x14ac:dyDescent="0.3">
      <c r="B11" s="463" t="s">
        <v>360</v>
      </c>
      <c r="C11" s="463"/>
      <c r="D11" s="463"/>
      <c r="E11" s="463"/>
      <c r="F11" s="463"/>
      <c r="G11" s="463"/>
      <c r="H11" s="463"/>
      <c r="I11" s="463"/>
      <c r="J11" s="463"/>
      <c r="K11" s="463"/>
      <c r="L11" s="463"/>
      <c r="M11" s="463"/>
    </row>
    <row r="12" spans="2:13" ht="16.5" customHeight="1" x14ac:dyDescent="0.3">
      <c r="B12" s="463"/>
      <c r="C12" s="463"/>
      <c r="D12" s="463"/>
      <c r="E12" s="463"/>
      <c r="F12" s="463"/>
      <c r="G12" s="463"/>
      <c r="H12" s="463"/>
      <c r="I12" s="463"/>
      <c r="J12" s="463"/>
      <c r="K12" s="463"/>
      <c r="L12" s="463"/>
      <c r="M12" s="463"/>
    </row>
    <row r="13" spans="2:13" ht="16.5" customHeight="1" x14ac:dyDescent="0.3">
      <c r="B13" s="463"/>
      <c r="C13" s="463"/>
      <c r="D13" s="463"/>
      <c r="E13" s="463"/>
      <c r="F13" s="463"/>
      <c r="G13" s="463"/>
      <c r="H13" s="463"/>
      <c r="I13" s="463"/>
      <c r="J13" s="463"/>
      <c r="K13" s="463"/>
      <c r="L13" s="463"/>
      <c r="M13" s="463"/>
    </row>
    <row r="14" spans="2:13" x14ac:dyDescent="0.3">
      <c r="B14" s="78"/>
      <c r="C14" s="78"/>
      <c r="D14" s="78"/>
      <c r="E14" s="195"/>
      <c r="F14" s="78"/>
      <c r="G14" s="78"/>
      <c r="H14" s="78"/>
      <c r="I14" s="78"/>
      <c r="J14" s="78"/>
      <c r="K14" s="78"/>
      <c r="L14" s="78"/>
      <c r="M14" s="78"/>
    </row>
    <row r="15" spans="2:13" x14ac:dyDescent="0.3">
      <c r="B15" s="27" t="s">
        <v>16</v>
      </c>
      <c r="C15" s="6"/>
      <c r="D15" s="6"/>
      <c r="E15" s="6"/>
      <c r="F15" s="6"/>
      <c r="G15" s="6"/>
      <c r="H15" s="6"/>
      <c r="I15" s="6"/>
      <c r="J15" s="6"/>
      <c r="K15" s="6"/>
      <c r="L15" s="6"/>
      <c r="M15" s="6"/>
    </row>
    <row r="16" spans="2:13" ht="34.5" customHeight="1" x14ac:dyDescent="0.3">
      <c r="B16" s="28">
        <v>1</v>
      </c>
      <c r="C16" s="425" t="s">
        <v>361</v>
      </c>
      <c r="D16" s="443"/>
      <c r="E16" s="443"/>
      <c r="F16" s="443"/>
      <c r="G16" s="443"/>
      <c r="H16" s="443"/>
      <c r="I16" s="443"/>
      <c r="J16" s="443"/>
      <c r="K16" s="443"/>
      <c r="L16" s="443"/>
      <c r="M16" s="443"/>
    </row>
    <row r="17" spans="1:19" x14ac:dyDescent="0.3">
      <c r="C17" s="52"/>
      <c r="I17" s="52"/>
    </row>
    <row r="18" spans="1:19" x14ac:dyDescent="0.3">
      <c r="B18" s="27" t="s">
        <v>26</v>
      </c>
      <c r="C18" s="6"/>
      <c r="D18" s="6"/>
      <c r="E18" s="185"/>
      <c r="F18" s="461" t="s">
        <v>25</v>
      </c>
      <c r="G18" s="461"/>
      <c r="H18" s="6"/>
      <c r="J18" s="25" t="s">
        <v>24</v>
      </c>
      <c r="K18" s="25"/>
      <c r="L18" s="25"/>
      <c r="M18" s="6"/>
    </row>
    <row r="19" spans="1:19" ht="51" customHeight="1" x14ac:dyDescent="0.3">
      <c r="B19" s="28">
        <v>1</v>
      </c>
      <c r="C19" s="460" t="s">
        <v>362</v>
      </c>
      <c r="D19" s="460"/>
      <c r="E19" s="196"/>
      <c r="F19" s="190" t="s">
        <v>80</v>
      </c>
      <c r="G19" s="86" t="s">
        <v>168</v>
      </c>
      <c r="H19" s="86" t="s">
        <v>102</v>
      </c>
      <c r="J19" s="45" t="s">
        <v>29</v>
      </c>
      <c r="K19" s="45" t="s">
        <v>34</v>
      </c>
      <c r="L19" s="45" t="s">
        <v>19</v>
      </c>
      <c r="M19" s="46" t="s">
        <v>31</v>
      </c>
      <c r="N19" s="79"/>
    </row>
    <row r="20" spans="1:19" ht="20.25" customHeight="1" x14ac:dyDescent="0.3">
      <c r="B20" s="466"/>
      <c r="C20" s="460"/>
      <c r="D20" s="460"/>
      <c r="E20" s="196"/>
      <c r="F20" s="48">
        <v>2000</v>
      </c>
      <c r="G20" s="48">
        <v>1500</v>
      </c>
      <c r="H20" s="115">
        <f>G20/F20</f>
        <v>0.75</v>
      </c>
      <c r="J20" s="52" t="s">
        <v>261</v>
      </c>
      <c r="Q20" s="55"/>
      <c r="R20" s="53"/>
      <c r="S20" s="53"/>
    </row>
    <row r="21" spans="1:19" x14ac:dyDescent="0.3">
      <c r="A21" s="61"/>
      <c r="B21" s="466"/>
      <c r="C21" s="460"/>
      <c r="D21" s="460"/>
      <c r="E21" s="61"/>
      <c r="F21" s="185"/>
      <c r="G21" s="185"/>
      <c r="H21" s="185"/>
      <c r="Q21" s="55"/>
      <c r="R21" s="53"/>
      <c r="S21" s="53"/>
    </row>
    <row r="22" spans="1:19" s="184" customFormat="1" x14ac:dyDescent="0.3">
      <c r="A22" s="61"/>
      <c r="B22" s="61"/>
      <c r="C22" s="61"/>
      <c r="D22" s="61"/>
      <c r="E22" s="61"/>
      <c r="F22" s="185"/>
      <c r="G22" s="185"/>
      <c r="H22" s="185"/>
      <c r="I22" s="185"/>
      <c r="Q22" s="186"/>
      <c r="R22" s="185"/>
      <c r="S22" s="185"/>
    </row>
    <row r="23" spans="1:19" ht="85.5" customHeight="1" x14ac:dyDescent="0.3">
      <c r="B23" s="28">
        <v>2</v>
      </c>
      <c r="C23" s="460" t="s">
        <v>292</v>
      </c>
      <c r="D23" s="460"/>
      <c r="E23" s="196"/>
      <c r="F23" s="100" t="s">
        <v>101</v>
      </c>
      <c r="G23" s="100" t="s">
        <v>169</v>
      </c>
      <c r="H23" s="278" t="s">
        <v>170</v>
      </c>
      <c r="J23" s="53"/>
      <c r="K23" s="53"/>
      <c r="L23" s="53"/>
      <c r="M23" s="53"/>
      <c r="N23" s="52" t="s">
        <v>243</v>
      </c>
      <c r="Q23" s="55"/>
      <c r="R23" s="53"/>
      <c r="S23" s="53"/>
    </row>
    <row r="24" spans="1:19" x14ac:dyDescent="0.3">
      <c r="B24" s="28"/>
      <c r="C24" s="460"/>
      <c r="D24" s="460"/>
      <c r="E24" s="196"/>
      <c r="F24" s="199">
        <v>400</v>
      </c>
      <c r="G24" s="102">
        <f>F24*H20</f>
        <v>300</v>
      </c>
      <c r="H24" s="102">
        <f>F24-G24</f>
        <v>100</v>
      </c>
      <c r="J24" s="274" t="s">
        <v>261</v>
      </c>
      <c r="N24" s="52" t="s">
        <v>243</v>
      </c>
      <c r="Q24" s="55"/>
      <c r="R24" s="53"/>
      <c r="S24" s="53"/>
    </row>
    <row r="25" spans="1:19" x14ac:dyDescent="0.3">
      <c r="B25" s="61"/>
      <c r="C25" s="61"/>
      <c r="D25" s="61"/>
      <c r="E25" s="61"/>
      <c r="F25" s="185"/>
      <c r="G25" s="185"/>
      <c r="H25" s="185"/>
      <c r="J25" s="53"/>
      <c r="K25" s="53"/>
      <c r="L25" s="53"/>
      <c r="M25" s="39"/>
      <c r="Q25" s="55"/>
      <c r="R25" s="53"/>
      <c r="S25" s="53"/>
    </row>
    <row r="26" spans="1:19" s="184" customFormat="1" x14ac:dyDescent="0.3">
      <c r="B26" s="61"/>
      <c r="C26" s="61"/>
      <c r="D26" s="61"/>
      <c r="E26" s="61"/>
      <c r="F26" s="185"/>
      <c r="I26" s="185"/>
      <c r="J26" s="185"/>
      <c r="K26" s="185"/>
      <c r="L26" s="185"/>
      <c r="M26" s="39"/>
      <c r="Q26" s="186"/>
      <c r="R26" s="185"/>
      <c r="S26" s="185"/>
    </row>
    <row r="27" spans="1:19" ht="31.5" customHeight="1" x14ac:dyDescent="0.3">
      <c r="B27" s="28">
        <v>3</v>
      </c>
      <c r="C27" s="463" t="s">
        <v>293</v>
      </c>
      <c r="D27" s="463"/>
      <c r="E27" s="197"/>
      <c r="F27" s="462" t="s">
        <v>205</v>
      </c>
      <c r="G27" s="462"/>
      <c r="H27" s="462"/>
      <c r="Q27" s="55"/>
      <c r="R27" s="53"/>
      <c r="S27" s="53"/>
    </row>
    <row r="28" spans="1:19" s="184" customFormat="1" ht="15.75" customHeight="1" x14ac:dyDescent="0.3">
      <c r="B28" s="28"/>
      <c r="C28" s="463"/>
      <c r="D28" s="463"/>
      <c r="E28" s="197"/>
      <c r="F28" s="467"/>
      <c r="G28" s="467"/>
      <c r="H28" s="198" t="s">
        <v>133</v>
      </c>
      <c r="I28" s="185"/>
      <c r="Q28" s="186"/>
      <c r="R28" s="185"/>
      <c r="S28" s="185"/>
    </row>
    <row r="29" spans="1:19" ht="31.5" customHeight="1" x14ac:dyDescent="0.3">
      <c r="B29" s="28"/>
      <c r="C29" s="463"/>
      <c r="D29" s="463"/>
      <c r="E29" s="197"/>
      <c r="F29" s="468" t="s">
        <v>106</v>
      </c>
      <c r="G29" s="468"/>
      <c r="H29" s="109">
        <f>H24</f>
        <v>100</v>
      </c>
      <c r="J29" s="34" t="s">
        <v>84</v>
      </c>
      <c r="K29" s="53" t="s">
        <v>83</v>
      </c>
      <c r="L29" s="64" t="s">
        <v>82</v>
      </c>
      <c r="M29" s="39">
        <v>39567</v>
      </c>
      <c r="Q29" s="55"/>
      <c r="R29" s="53"/>
      <c r="S29" s="53"/>
    </row>
    <row r="30" spans="1:19" x14ac:dyDescent="0.3">
      <c r="B30" s="28"/>
      <c r="C30" s="463"/>
      <c r="D30" s="463"/>
      <c r="E30" s="197"/>
      <c r="F30" s="459" t="s">
        <v>120</v>
      </c>
      <c r="G30" s="459"/>
      <c r="H30" s="99">
        <v>0.15</v>
      </c>
      <c r="J30" s="53"/>
      <c r="K30" s="53"/>
      <c r="L30" s="53"/>
      <c r="M30" s="53"/>
      <c r="Q30" s="55"/>
      <c r="R30" s="53"/>
      <c r="S30" s="53"/>
    </row>
    <row r="31" spans="1:19" x14ac:dyDescent="0.3">
      <c r="B31" s="28"/>
      <c r="C31" s="463"/>
      <c r="D31" s="463"/>
      <c r="E31" s="197"/>
      <c r="F31" s="459" t="s">
        <v>132</v>
      </c>
      <c r="G31" s="459"/>
      <c r="H31" s="99">
        <v>0.15</v>
      </c>
      <c r="J31" s="53"/>
      <c r="K31" s="53"/>
      <c r="L31" s="53"/>
      <c r="M31" s="53"/>
      <c r="Q31" s="55"/>
      <c r="R31" s="53"/>
      <c r="S31" s="53"/>
    </row>
    <row r="32" spans="1:19" ht="17.25" thickBot="1" x14ac:dyDescent="0.35">
      <c r="B32" s="28"/>
      <c r="C32" s="463"/>
      <c r="D32" s="463"/>
      <c r="E32" s="197"/>
      <c r="F32" s="459" t="s">
        <v>171</v>
      </c>
      <c r="G32" s="459"/>
      <c r="H32" s="394">
        <v>90000</v>
      </c>
      <c r="J32" s="274" t="s">
        <v>261</v>
      </c>
      <c r="K32" s="53"/>
      <c r="L32" s="53"/>
      <c r="M32" s="53"/>
      <c r="Q32" s="55"/>
      <c r="R32" s="53"/>
      <c r="S32" s="53"/>
    </row>
    <row r="33" spans="2:23" s="53" customFormat="1" ht="17.25" thickBot="1" x14ac:dyDescent="0.35">
      <c r="B33" s="28"/>
      <c r="C33" s="463"/>
      <c r="D33" s="463"/>
      <c r="E33" s="197"/>
      <c r="F33" s="464" t="s">
        <v>91</v>
      </c>
      <c r="G33" s="465"/>
      <c r="H33" s="103">
        <f>SUM(H30:H31)*H32*H29</f>
        <v>2700000</v>
      </c>
      <c r="J33" s="93"/>
      <c r="M33" s="54"/>
      <c r="Q33" s="55"/>
    </row>
    <row r="34" spans="2:23" x14ac:dyDescent="0.3">
      <c r="B34" s="28"/>
      <c r="C34" s="463"/>
      <c r="D34" s="463"/>
      <c r="E34" s="197"/>
      <c r="G34" s="53"/>
      <c r="H34" s="53"/>
      <c r="J34" s="53"/>
      <c r="K34" s="53"/>
      <c r="L34" s="53"/>
      <c r="M34" s="53"/>
      <c r="Q34" s="55"/>
      <c r="R34" s="53"/>
      <c r="S34" s="53"/>
    </row>
    <row r="35" spans="2:23" ht="16.5" customHeight="1" x14ac:dyDescent="0.3">
      <c r="B35" s="28"/>
      <c r="C35" s="463"/>
      <c r="D35" s="463"/>
      <c r="E35" s="197"/>
      <c r="F35" s="208"/>
      <c r="G35" s="208"/>
      <c r="H35" s="208"/>
      <c r="I35" s="30"/>
      <c r="J35" s="30"/>
      <c r="Q35" s="55"/>
      <c r="R35" s="53"/>
      <c r="S35" s="53"/>
    </row>
    <row r="36" spans="2:23" x14ac:dyDescent="0.3">
      <c r="B36" s="28"/>
      <c r="C36" s="463"/>
      <c r="D36" s="463"/>
      <c r="E36" s="197"/>
      <c r="F36" s="208"/>
      <c r="G36" s="208"/>
      <c r="H36" s="208"/>
      <c r="I36" s="30"/>
      <c r="J36" s="30"/>
      <c r="Q36" s="55"/>
      <c r="R36" s="53"/>
      <c r="S36" s="53"/>
    </row>
    <row r="37" spans="2:23" x14ac:dyDescent="0.3">
      <c r="B37" s="28"/>
      <c r="C37" s="463"/>
      <c r="D37" s="463"/>
      <c r="E37" s="197"/>
      <c r="F37" s="208"/>
      <c r="G37" s="208"/>
      <c r="H37" s="208"/>
      <c r="Q37" s="55"/>
      <c r="R37" s="53"/>
      <c r="S37" s="53"/>
    </row>
    <row r="38" spans="2:23" s="271" customFormat="1" x14ac:dyDescent="0.3">
      <c r="B38" s="381"/>
      <c r="C38" s="463"/>
      <c r="D38" s="463"/>
      <c r="E38" s="378"/>
      <c r="F38" s="208"/>
      <c r="G38" s="208"/>
      <c r="H38" s="208"/>
      <c r="I38" s="185"/>
      <c r="Q38" s="186"/>
      <c r="R38" s="185"/>
      <c r="S38" s="185"/>
    </row>
    <row r="39" spans="2:23" x14ac:dyDescent="0.3">
      <c r="B39" s="28"/>
      <c r="C39" s="463"/>
      <c r="D39" s="463"/>
      <c r="E39" s="197"/>
      <c r="F39" s="208"/>
      <c r="G39" s="208"/>
      <c r="H39" s="208"/>
      <c r="Q39" s="55"/>
      <c r="R39" s="53"/>
      <c r="S39" s="53"/>
    </row>
    <row r="40" spans="2:23" x14ac:dyDescent="0.3">
      <c r="B40" s="90"/>
      <c r="C40" s="276"/>
      <c r="D40" s="276"/>
      <c r="E40" s="197"/>
      <c r="F40"/>
      <c r="G40"/>
      <c r="H40"/>
      <c r="I40"/>
      <c r="J40"/>
      <c r="Q40" s="55"/>
      <c r="R40" s="53"/>
      <c r="S40" s="53"/>
      <c r="T40" s="53"/>
      <c r="U40" s="53"/>
      <c r="V40" s="53"/>
      <c r="W40" s="53"/>
    </row>
    <row r="41" spans="2:23" x14ac:dyDescent="0.3">
      <c r="B41" s="90"/>
      <c r="C41" s="276"/>
      <c r="D41" s="276"/>
      <c r="E41" s="197"/>
      <c r="F41"/>
      <c r="G41"/>
      <c r="H41"/>
      <c r="I41"/>
      <c r="J41"/>
      <c r="K41" s="53"/>
      <c r="L41" s="53"/>
      <c r="M41" s="53"/>
      <c r="N41" s="52" t="s">
        <v>243</v>
      </c>
      <c r="Q41" s="55"/>
      <c r="R41" s="53"/>
      <c r="S41" s="53"/>
      <c r="T41" s="53"/>
      <c r="U41" s="53"/>
      <c r="V41" s="53"/>
      <c r="W41" s="53"/>
    </row>
    <row r="42" spans="2:23" x14ac:dyDescent="0.3">
      <c r="B42" s="90"/>
      <c r="C42" s="276"/>
      <c r="D42" s="276"/>
      <c r="E42" s="197"/>
      <c r="F42"/>
      <c r="G42"/>
      <c r="H42"/>
      <c r="I42"/>
      <c r="J42"/>
      <c r="K42" s="53"/>
      <c r="L42" s="53"/>
      <c r="M42" s="53"/>
      <c r="Q42" s="55"/>
      <c r="R42" s="53"/>
      <c r="S42" s="53"/>
      <c r="T42" s="53"/>
      <c r="U42" s="53"/>
      <c r="V42" s="53"/>
      <c r="W42" s="53"/>
    </row>
    <row r="43" spans="2:23" x14ac:dyDescent="0.3">
      <c r="B43" s="90"/>
      <c r="C43" s="276"/>
      <c r="D43" s="276"/>
      <c r="E43" s="197"/>
      <c r="F43"/>
      <c r="G43"/>
      <c r="H43"/>
      <c r="I43"/>
      <c r="J43"/>
      <c r="K43" s="53"/>
      <c r="L43" s="53"/>
      <c r="M43" s="53"/>
      <c r="Q43" s="55"/>
      <c r="R43" s="53"/>
      <c r="S43" s="53"/>
      <c r="T43" s="53"/>
      <c r="U43" s="53"/>
      <c r="V43" s="53"/>
      <c r="W43" s="53"/>
    </row>
    <row r="44" spans="2:23" x14ac:dyDescent="0.3">
      <c r="B44" s="90"/>
      <c r="C44" s="276"/>
      <c r="D44" s="276"/>
      <c r="E44" s="197"/>
      <c r="F44"/>
      <c r="G44"/>
      <c r="H44"/>
      <c r="I44"/>
      <c r="J44"/>
      <c r="K44" s="53"/>
      <c r="L44" s="53"/>
      <c r="M44" s="53"/>
      <c r="Q44" s="55"/>
      <c r="R44" s="53"/>
      <c r="S44" s="53"/>
      <c r="T44" s="53"/>
      <c r="U44" s="53"/>
      <c r="V44" s="53"/>
      <c r="W44" s="53"/>
    </row>
    <row r="45" spans="2:23" ht="17.25" customHeight="1" x14ac:dyDescent="0.3">
      <c r="B45" s="90"/>
      <c r="C45" s="276"/>
      <c r="D45" s="276"/>
      <c r="E45" s="197"/>
      <c r="F45"/>
      <c r="G45"/>
      <c r="H45"/>
      <c r="I45"/>
      <c r="J45"/>
      <c r="K45" s="53"/>
      <c r="L45" s="53"/>
      <c r="M45" s="53"/>
      <c r="Q45" s="55"/>
      <c r="R45" s="53"/>
      <c r="S45" s="53"/>
      <c r="T45" s="53"/>
      <c r="U45" s="53"/>
      <c r="V45" s="53"/>
      <c r="W45" s="53"/>
    </row>
    <row r="46" spans="2:23" ht="16.5" customHeight="1" x14ac:dyDescent="0.3">
      <c r="B46" s="90"/>
      <c r="C46" s="276"/>
      <c r="D46" s="276"/>
      <c r="E46" s="197"/>
      <c r="F46"/>
      <c r="G46"/>
      <c r="H46"/>
      <c r="I46"/>
      <c r="J46"/>
      <c r="K46" s="53"/>
      <c r="L46" s="53"/>
      <c r="M46" s="53"/>
      <c r="T46" s="53"/>
      <c r="U46" s="53"/>
      <c r="V46" s="53"/>
      <c r="W46" s="53"/>
    </row>
    <row r="47" spans="2:23" x14ac:dyDescent="0.3">
      <c r="B47" s="90"/>
      <c r="C47" s="276"/>
      <c r="D47" s="276"/>
      <c r="E47" s="197"/>
      <c r="F47"/>
      <c r="G47"/>
      <c r="H47"/>
      <c r="I47"/>
      <c r="J47"/>
      <c r="K47" s="53"/>
      <c r="L47" s="53"/>
      <c r="M47" s="54"/>
      <c r="Q47" s="53"/>
      <c r="R47" s="53"/>
      <c r="T47" s="53"/>
      <c r="U47" s="53"/>
      <c r="V47" s="53"/>
      <c r="W47" s="53"/>
    </row>
    <row r="48" spans="2:23" x14ac:dyDescent="0.3">
      <c r="B48" s="90"/>
      <c r="C48" s="276"/>
      <c r="D48" s="276"/>
      <c r="E48" s="197"/>
      <c r="F48"/>
      <c r="G48"/>
      <c r="H48"/>
      <c r="I48"/>
      <c r="J48"/>
      <c r="K48" s="53"/>
      <c r="L48" s="53"/>
      <c r="M48" s="53"/>
      <c r="Q48" s="22"/>
      <c r="R48" s="53"/>
      <c r="T48" s="53"/>
      <c r="U48" s="53"/>
      <c r="V48" s="53"/>
      <c r="W48" s="53"/>
    </row>
    <row r="49" spans="1:23" x14ac:dyDescent="0.3">
      <c r="B49" s="90"/>
      <c r="C49" s="276"/>
      <c r="D49" s="276"/>
      <c r="E49" s="197"/>
      <c r="F49"/>
      <c r="G49"/>
      <c r="H49"/>
      <c r="I49"/>
      <c r="J49"/>
      <c r="K49" s="53"/>
      <c r="L49" s="64"/>
      <c r="M49" s="39"/>
      <c r="Q49" s="22"/>
      <c r="R49" s="53"/>
      <c r="T49" s="53"/>
      <c r="U49" s="53"/>
      <c r="V49" s="53"/>
      <c r="W49" s="53"/>
    </row>
    <row r="50" spans="1:23" x14ac:dyDescent="0.3">
      <c r="B50" s="90"/>
      <c r="C50" s="276"/>
      <c r="D50" s="276"/>
      <c r="E50" s="197"/>
      <c r="F50"/>
      <c r="G50"/>
      <c r="H50"/>
      <c r="I50"/>
      <c r="J50"/>
      <c r="K50" s="53"/>
      <c r="L50" s="53"/>
      <c r="M50" s="54"/>
      <c r="Q50" s="22"/>
      <c r="R50" s="53"/>
      <c r="T50" s="53"/>
      <c r="U50" s="53"/>
      <c r="V50" s="53"/>
      <c r="W50" s="53"/>
    </row>
    <row r="51" spans="1:23" x14ac:dyDescent="0.3">
      <c r="B51" s="90"/>
      <c r="C51" s="52"/>
      <c r="F51"/>
      <c r="G51"/>
      <c r="H51"/>
      <c r="I51"/>
      <c r="J51"/>
      <c r="K51" s="53"/>
      <c r="L51" s="53"/>
      <c r="M51" s="53"/>
      <c r="Q51" s="22"/>
      <c r="R51" s="53"/>
      <c r="T51" s="53"/>
      <c r="U51" s="53"/>
      <c r="V51" s="53"/>
      <c r="W51" s="53"/>
    </row>
    <row r="52" spans="1:23" x14ac:dyDescent="0.3">
      <c r="B52" s="90"/>
      <c r="C52" s="52"/>
      <c r="F52"/>
      <c r="G52"/>
      <c r="H52"/>
      <c r="I52"/>
      <c r="J52"/>
      <c r="K52" s="53"/>
      <c r="L52" s="53"/>
      <c r="M52" s="53"/>
      <c r="Q52" s="22"/>
      <c r="R52" s="53"/>
      <c r="T52" s="53"/>
      <c r="U52" s="53"/>
      <c r="V52" s="53"/>
      <c r="W52" s="53"/>
    </row>
    <row r="53" spans="1:23" x14ac:dyDescent="0.3">
      <c r="B53" s="90"/>
      <c r="C53" s="52"/>
      <c r="G53" s="48"/>
      <c r="H53" s="48"/>
      <c r="J53" s="53"/>
      <c r="K53" s="53"/>
      <c r="L53" s="53"/>
      <c r="M53" s="53"/>
      <c r="Q53" s="22"/>
      <c r="R53" s="53"/>
      <c r="T53" s="53"/>
      <c r="U53" s="53"/>
      <c r="V53" s="53"/>
      <c r="W53" s="53"/>
    </row>
    <row r="54" spans="1:23" ht="16.5" customHeight="1" thickBot="1" x14ac:dyDescent="0.35">
      <c r="B54" s="90"/>
      <c r="C54" s="52"/>
      <c r="G54" s="87"/>
      <c r="H54" s="53"/>
      <c r="J54" s="53"/>
      <c r="K54" s="53"/>
      <c r="L54" s="53"/>
      <c r="M54" s="53"/>
    </row>
    <row r="55" spans="1:23" ht="17.25" thickBot="1" x14ac:dyDescent="0.35">
      <c r="B55" s="90"/>
      <c r="C55" s="52"/>
      <c r="G55" s="98"/>
      <c r="H55" s="53"/>
      <c r="J55" s="53"/>
      <c r="K55" s="53"/>
      <c r="L55" s="53"/>
      <c r="M55" s="53"/>
    </row>
    <row r="56" spans="1:23" x14ac:dyDescent="0.3">
      <c r="B56" s="90"/>
      <c r="C56" s="52"/>
      <c r="G56" s="53"/>
      <c r="H56" s="53"/>
      <c r="J56" s="53"/>
      <c r="K56" s="53"/>
      <c r="L56" s="53"/>
      <c r="M56" s="53"/>
    </row>
    <row r="57" spans="1:23" x14ac:dyDescent="0.3">
      <c r="B57" s="90"/>
      <c r="C57" s="52"/>
      <c r="G57" s="53"/>
      <c r="H57" s="53"/>
      <c r="J57" s="53"/>
      <c r="K57" s="53"/>
      <c r="L57" s="53"/>
      <c r="M57" s="53"/>
    </row>
    <row r="58" spans="1:23" x14ac:dyDescent="0.3">
      <c r="B58" s="90"/>
      <c r="C58" s="52"/>
      <c r="G58" s="53"/>
      <c r="H58" s="53"/>
      <c r="J58" s="53"/>
      <c r="K58" s="53"/>
      <c r="L58" s="53"/>
      <c r="M58" s="53"/>
    </row>
    <row r="59" spans="1:23" s="53" customFormat="1" ht="17.25" customHeight="1" x14ac:dyDescent="0.3">
      <c r="A59" s="52"/>
      <c r="B59" s="90"/>
      <c r="C59" s="52"/>
      <c r="D59" s="52"/>
      <c r="E59" s="184"/>
      <c r="N59" s="52"/>
      <c r="O59" s="52"/>
      <c r="P59" s="52"/>
      <c r="Q59" s="52"/>
      <c r="R59" s="52"/>
      <c r="S59" s="52"/>
      <c r="T59" s="52"/>
      <c r="U59" s="52"/>
      <c r="V59" s="52"/>
      <c r="W59" s="52"/>
    </row>
    <row r="60" spans="1:23" s="53" customFormat="1" x14ac:dyDescent="0.3">
      <c r="A60" s="52"/>
      <c r="B60" s="10"/>
      <c r="C60" s="20"/>
      <c r="D60" s="58"/>
      <c r="E60" s="58"/>
      <c r="G60" s="52"/>
      <c r="H60" s="52"/>
      <c r="J60" s="52"/>
      <c r="K60" s="52"/>
      <c r="L60" s="52"/>
      <c r="M60" s="52"/>
      <c r="N60" s="52"/>
      <c r="O60" s="52"/>
      <c r="P60" s="52"/>
      <c r="Q60" s="52"/>
      <c r="R60" s="52"/>
      <c r="S60" s="52"/>
      <c r="T60" s="52"/>
      <c r="U60" s="52"/>
      <c r="V60" s="52"/>
      <c r="W60" s="52"/>
    </row>
  </sheetData>
  <mergeCells count="18">
    <mergeCell ref="B20:B21"/>
    <mergeCell ref="F28:G28"/>
    <mergeCell ref="F29:G29"/>
    <mergeCell ref="F30:G30"/>
    <mergeCell ref="K2:M2"/>
    <mergeCell ref="K3:M3"/>
    <mergeCell ref="K4:M4"/>
    <mergeCell ref="B11:M13"/>
    <mergeCell ref="C16:M16"/>
    <mergeCell ref="F31:G31"/>
    <mergeCell ref="F32:G32"/>
    <mergeCell ref="C23:D24"/>
    <mergeCell ref="K5:M5"/>
    <mergeCell ref="F18:G18"/>
    <mergeCell ref="F27:H27"/>
    <mergeCell ref="C27:D39"/>
    <mergeCell ref="F33:G33"/>
    <mergeCell ref="C19:D21"/>
  </mergeCells>
  <hyperlinks>
    <hyperlink ref="L29" r:id="rId1"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W61"/>
  <sheetViews>
    <sheetView topLeftCell="A22" zoomScale="80" zoomScaleNormal="80" zoomScaleSheetLayoutView="100" workbookViewId="0">
      <selection activeCell="G43" sqref="G43"/>
    </sheetView>
  </sheetViews>
  <sheetFormatPr defaultRowHeight="16.5" x14ac:dyDescent="0.3"/>
  <cols>
    <col min="1" max="1" width="3.5" style="52" customWidth="1"/>
    <col min="2" max="2" width="3.125" style="10" customWidth="1"/>
    <col min="3" max="3" width="24.125" style="20" customWidth="1"/>
    <col min="4" max="4" width="43.25" style="52" customWidth="1"/>
    <col min="5" max="5" width="1.625" style="53" customWidth="1"/>
    <col min="6" max="6" width="22.125" style="52" customWidth="1"/>
    <col min="7" max="7" width="24.625" style="52" customWidth="1"/>
    <col min="8" max="8" width="18" style="52" customWidth="1"/>
    <col min="9" max="9" width="1.625" style="53" customWidth="1"/>
    <col min="10" max="10" width="15.375" style="52" customWidth="1"/>
    <col min="11" max="12" width="11.25" style="52" customWidth="1"/>
    <col min="13" max="13" width="11" style="52" customWidth="1"/>
    <col min="14" max="18" width="9" style="52"/>
    <col min="19" max="19" width="14.125" style="52" customWidth="1"/>
    <col min="20" max="16384" width="9" style="52"/>
  </cols>
  <sheetData>
    <row r="1" spans="2:13" x14ac:dyDescent="0.3">
      <c r="C1" s="52"/>
      <c r="I1" s="52"/>
    </row>
    <row r="2" spans="2:13" x14ac:dyDescent="0.3">
      <c r="C2" s="26" t="s">
        <v>10</v>
      </c>
      <c r="D2" s="13" t="s">
        <v>15</v>
      </c>
      <c r="E2" s="32"/>
      <c r="I2" s="52"/>
      <c r="J2" s="207" t="s">
        <v>23</v>
      </c>
      <c r="K2" s="427" t="s">
        <v>140</v>
      </c>
      <c r="L2" s="427"/>
      <c r="M2" s="427"/>
    </row>
    <row r="3" spans="2:13" x14ac:dyDescent="0.3">
      <c r="C3" s="26" t="s">
        <v>11</v>
      </c>
      <c r="D3" s="13" t="s">
        <v>248</v>
      </c>
      <c r="I3" s="52"/>
      <c r="J3" s="274"/>
      <c r="K3" s="441" t="s">
        <v>13</v>
      </c>
      <c r="L3" s="441"/>
      <c r="M3" s="441"/>
    </row>
    <row r="4" spans="2:13" ht="17.25" thickBot="1" x14ac:dyDescent="0.35">
      <c r="C4" s="26" t="s">
        <v>22</v>
      </c>
      <c r="D4" s="13" t="s">
        <v>246</v>
      </c>
      <c r="F4" s="20"/>
      <c r="I4" s="52"/>
      <c r="J4" s="274"/>
      <c r="K4" s="442" t="s">
        <v>141</v>
      </c>
      <c r="L4" s="442"/>
      <c r="M4" s="442"/>
    </row>
    <row r="5" spans="2:13" ht="17.25" thickBot="1" x14ac:dyDescent="0.35">
      <c r="C5" s="26"/>
      <c r="D5" s="13"/>
      <c r="I5" s="52"/>
      <c r="J5" s="274"/>
      <c r="K5" s="444" t="s">
        <v>55</v>
      </c>
      <c r="L5" s="445"/>
      <c r="M5" s="446"/>
    </row>
    <row r="6" spans="2:13" s="271" customFormat="1" x14ac:dyDescent="0.3">
      <c r="B6" s="10"/>
      <c r="C6" s="207"/>
      <c r="D6" s="32"/>
      <c r="E6" s="185"/>
      <c r="J6" s="274"/>
      <c r="K6" s="303"/>
      <c r="L6" s="303"/>
      <c r="M6" s="303"/>
    </row>
    <row r="7" spans="2:13" s="271" customFormat="1" x14ac:dyDescent="0.3">
      <c r="B7" s="10"/>
      <c r="C7" s="207" t="s">
        <v>215</v>
      </c>
      <c r="D7" s="359">
        <f>G44</f>
        <v>396902.46575342462</v>
      </c>
      <c r="E7" s="185"/>
      <c r="J7" s="274"/>
      <c r="K7" s="303"/>
      <c r="L7" s="303"/>
      <c r="M7" s="303"/>
    </row>
    <row r="8" spans="2:13" ht="49.5" x14ac:dyDescent="0.3">
      <c r="B8" s="38"/>
      <c r="C8" s="73" t="s">
        <v>12</v>
      </c>
      <c r="D8" s="72" t="s">
        <v>110</v>
      </c>
      <c r="E8" s="33"/>
      <c r="F8" s="7"/>
      <c r="G8" s="7"/>
      <c r="H8" s="7"/>
      <c r="I8" s="7"/>
      <c r="J8" s="7"/>
      <c r="K8" s="7"/>
      <c r="L8" s="7"/>
      <c r="M8" s="7"/>
    </row>
    <row r="9" spans="2:13" x14ac:dyDescent="0.3">
      <c r="C9" s="52"/>
      <c r="I9" s="52"/>
    </row>
    <row r="10" spans="2:13" x14ac:dyDescent="0.3">
      <c r="B10" s="27" t="s">
        <v>14</v>
      </c>
      <c r="C10" s="6"/>
      <c r="D10" s="6"/>
      <c r="E10" s="6"/>
      <c r="F10" s="6"/>
      <c r="G10" s="6"/>
      <c r="H10" s="6"/>
      <c r="I10" s="6"/>
      <c r="J10" s="6"/>
      <c r="K10" s="6"/>
      <c r="L10" s="6"/>
      <c r="M10" s="6"/>
    </row>
    <row r="11" spans="2:13" ht="16.5" customHeight="1" x14ac:dyDescent="0.3">
      <c r="B11" s="463" t="s">
        <v>363</v>
      </c>
      <c r="C11" s="463"/>
      <c r="D11" s="463"/>
      <c r="E11" s="463"/>
      <c r="F11" s="463"/>
      <c r="G11" s="463"/>
      <c r="H11" s="463"/>
      <c r="I11" s="463"/>
      <c r="J11" s="463"/>
      <c r="K11" s="463"/>
      <c r="L11" s="463"/>
      <c r="M11" s="463"/>
    </row>
    <row r="12" spans="2:13" ht="16.5" customHeight="1" x14ac:dyDescent="0.3">
      <c r="B12" s="463"/>
      <c r="C12" s="463"/>
      <c r="D12" s="463"/>
      <c r="E12" s="463"/>
      <c r="F12" s="463"/>
      <c r="G12" s="463"/>
      <c r="H12" s="463"/>
      <c r="I12" s="463"/>
      <c r="J12" s="463"/>
      <c r="K12" s="463"/>
      <c r="L12" s="463"/>
      <c r="M12" s="463"/>
    </row>
    <row r="13" spans="2:13" ht="16.5" customHeight="1" x14ac:dyDescent="0.3">
      <c r="B13" s="463"/>
      <c r="C13" s="463"/>
      <c r="D13" s="463"/>
      <c r="E13" s="463"/>
      <c r="F13" s="463"/>
      <c r="G13" s="463"/>
      <c r="H13" s="463"/>
      <c r="I13" s="463"/>
      <c r="J13" s="463"/>
      <c r="K13" s="463"/>
      <c r="L13" s="463"/>
      <c r="M13" s="463"/>
    </row>
    <row r="14" spans="2:13" x14ac:dyDescent="0.3">
      <c r="B14" s="463"/>
      <c r="C14" s="463"/>
      <c r="D14" s="463"/>
      <c r="E14" s="463"/>
      <c r="F14" s="463"/>
      <c r="G14" s="463"/>
      <c r="H14" s="463"/>
      <c r="I14" s="463"/>
      <c r="J14" s="463"/>
      <c r="K14" s="463"/>
      <c r="L14" s="463"/>
      <c r="M14" s="463"/>
    </row>
    <row r="15" spans="2:13" x14ac:dyDescent="0.3">
      <c r="B15" s="78"/>
      <c r="C15" s="78"/>
      <c r="D15" s="78"/>
      <c r="E15" s="78"/>
      <c r="F15" s="78"/>
      <c r="G15" s="78"/>
      <c r="H15" s="78"/>
      <c r="I15" s="78"/>
      <c r="J15" s="78"/>
      <c r="K15" s="78"/>
      <c r="L15" s="78"/>
      <c r="M15" s="78"/>
    </row>
    <row r="16" spans="2:13" x14ac:dyDescent="0.3">
      <c r="B16" s="27" t="s">
        <v>16</v>
      </c>
      <c r="C16" s="6"/>
      <c r="D16" s="6"/>
      <c r="E16" s="6"/>
      <c r="F16" s="6"/>
      <c r="G16" s="6"/>
      <c r="H16" s="6"/>
      <c r="I16" s="6"/>
      <c r="J16" s="6"/>
      <c r="K16" s="6"/>
      <c r="L16" s="6"/>
      <c r="M16" s="6"/>
    </row>
    <row r="17" spans="2:19" ht="44.25" customHeight="1" x14ac:dyDescent="0.3">
      <c r="B17" s="28">
        <v>1</v>
      </c>
      <c r="C17" s="425" t="s">
        <v>364</v>
      </c>
      <c r="D17" s="443"/>
      <c r="E17" s="443"/>
      <c r="F17" s="443"/>
      <c r="G17" s="443"/>
      <c r="H17" s="443"/>
      <c r="I17" s="443"/>
      <c r="J17" s="443"/>
      <c r="K17" s="443"/>
      <c r="L17" s="443"/>
      <c r="M17" s="443"/>
    </row>
    <row r="18" spans="2:19" x14ac:dyDescent="0.3">
      <c r="C18" s="52"/>
      <c r="I18" s="52"/>
    </row>
    <row r="19" spans="2:19" x14ac:dyDescent="0.3">
      <c r="B19" s="27" t="s">
        <v>26</v>
      </c>
      <c r="C19" s="6"/>
      <c r="D19" s="6"/>
      <c r="F19" s="25" t="s">
        <v>25</v>
      </c>
      <c r="G19" s="6"/>
      <c r="H19" s="6"/>
      <c r="J19" s="25" t="s">
        <v>24</v>
      </c>
      <c r="K19" s="25"/>
      <c r="L19" s="25"/>
      <c r="M19" s="6"/>
    </row>
    <row r="20" spans="2:19" ht="19.5" customHeight="1" x14ac:dyDescent="0.3">
      <c r="B20" s="28">
        <v>1</v>
      </c>
      <c r="C20" s="472" t="s">
        <v>365</v>
      </c>
      <c r="D20" s="472"/>
      <c r="F20" s="106" t="s">
        <v>103</v>
      </c>
      <c r="G20" s="106"/>
      <c r="H20" s="106"/>
      <c r="J20" s="470" t="s">
        <v>29</v>
      </c>
      <c r="K20" s="470" t="s">
        <v>34</v>
      </c>
      <c r="L20" s="470" t="s">
        <v>19</v>
      </c>
      <c r="M20" s="471" t="s">
        <v>31</v>
      </c>
    </row>
    <row r="21" spans="2:19" ht="66" x14ac:dyDescent="0.3">
      <c r="B21" s="28"/>
      <c r="C21" s="472"/>
      <c r="D21" s="472"/>
      <c r="E21" s="79"/>
      <c r="F21" s="86" t="s">
        <v>80</v>
      </c>
      <c r="G21" s="190" t="s">
        <v>179</v>
      </c>
      <c r="H21" s="211" t="s">
        <v>18</v>
      </c>
      <c r="J21" s="470"/>
      <c r="K21" s="470"/>
      <c r="L21" s="470"/>
      <c r="M21" s="471"/>
      <c r="N21" s="79"/>
      <c r="O21" s="53"/>
    </row>
    <row r="22" spans="2:19" x14ac:dyDescent="0.3">
      <c r="B22" s="28"/>
      <c r="C22" s="472"/>
      <c r="D22" s="472"/>
      <c r="E22" s="79"/>
      <c r="F22" s="5">
        <f>'A1 - Productivity'!G29</f>
        <v>2000</v>
      </c>
      <c r="G22" s="291">
        <v>0.3</v>
      </c>
      <c r="H22" s="252">
        <v>397488000</v>
      </c>
      <c r="J22" t="s">
        <v>261</v>
      </c>
      <c r="K22"/>
      <c r="L22"/>
      <c r="M22"/>
      <c r="N22" s="79"/>
      <c r="O22" s="53"/>
    </row>
    <row r="23" spans="2:19" x14ac:dyDescent="0.3">
      <c r="B23" s="28"/>
      <c r="C23" s="472"/>
      <c r="D23" s="472"/>
      <c r="E23" s="79"/>
      <c r="F23" s="271"/>
      <c r="G23" s="271"/>
      <c r="H23" s="271"/>
      <c r="N23" s="79"/>
      <c r="O23" s="53"/>
    </row>
    <row r="24" spans="2:19" x14ac:dyDescent="0.3">
      <c r="B24" s="28"/>
      <c r="C24" s="472"/>
      <c r="D24" s="472"/>
      <c r="E24" s="79"/>
      <c r="N24" s="79"/>
      <c r="O24" s="53"/>
    </row>
    <row r="25" spans="2:19" x14ac:dyDescent="0.3">
      <c r="B25" s="28"/>
      <c r="C25" s="472"/>
      <c r="D25" s="472"/>
      <c r="E25" s="79"/>
      <c r="N25" s="79"/>
      <c r="O25" s="53"/>
    </row>
    <row r="26" spans="2:19" x14ac:dyDescent="0.3">
      <c r="C26" s="52"/>
      <c r="O26" s="184"/>
      <c r="P26" s="184"/>
      <c r="Q26" s="186"/>
      <c r="R26" s="185"/>
      <c r="S26" s="53"/>
    </row>
    <row r="27" spans="2:19" ht="16.5" customHeight="1" x14ac:dyDescent="0.3">
      <c r="B27" s="28">
        <v>2</v>
      </c>
      <c r="C27" s="426" t="s">
        <v>366</v>
      </c>
      <c r="D27" s="426"/>
      <c r="F27" s="462" t="s">
        <v>181</v>
      </c>
      <c r="G27" s="462"/>
      <c r="H27" s="462"/>
      <c r="O27" s="184"/>
      <c r="P27" s="184"/>
      <c r="Q27" s="186"/>
      <c r="R27" s="185"/>
      <c r="S27" s="53"/>
    </row>
    <row r="28" spans="2:19" ht="16.5" customHeight="1" x14ac:dyDescent="0.3">
      <c r="B28" s="28"/>
      <c r="C28" s="426"/>
      <c r="D28" s="426"/>
      <c r="F28" s="252">
        <f>H22/365*G22</f>
        <v>326702.46575342462</v>
      </c>
      <c r="O28" s="184"/>
      <c r="P28" s="184"/>
      <c r="Q28" s="186"/>
      <c r="R28" s="185"/>
      <c r="S28" s="53"/>
    </row>
    <row r="29" spans="2:19" s="271" customFormat="1" ht="16.5" customHeight="1" x14ac:dyDescent="0.3">
      <c r="B29" s="275"/>
      <c r="C29" s="426"/>
      <c r="D29" s="426"/>
      <c r="E29" s="185"/>
      <c r="I29" s="185"/>
      <c r="Q29" s="186"/>
      <c r="R29" s="185"/>
      <c r="S29" s="185"/>
    </row>
    <row r="30" spans="2:19" s="271" customFormat="1" ht="16.5" customHeight="1" x14ac:dyDescent="0.3">
      <c r="B30" s="353"/>
      <c r="C30" s="426"/>
      <c r="D30" s="426"/>
      <c r="E30" s="185"/>
      <c r="I30" s="185"/>
      <c r="Q30" s="186"/>
      <c r="R30" s="185"/>
      <c r="S30" s="185"/>
    </row>
    <row r="31" spans="2:19" s="271" customFormat="1" ht="16.5" customHeight="1" x14ac:dyDescent="0.3">
      <c r="B31" s="275"/>
      <c r="C31" s="426"/>
      <c r="D31" s="426"/>
      <c r="E31" s="185"/>
      <c r="I31" s="185"/>
      <c r="Q31" s="186"/>
      <c r="R31" s="185"/>
      <c r="S31" s="185"/>
    </row>
    <row r="32" spans="2:19" x14ac:dyDescent="0.3">
      <c r="B32" s="28"/>
      <c r="C32" s="426"/>
      <c r="D32" s="426"/>
      <c r="M32" s="39"/>
      <c r="O32" s="184"/>
      <c r="P32" s="184"/>
      <c r="Q32" s="186"/>
      <c r="R32" s="185"/>
      <c r="S32" s="185"/>
    </row>
    <row r="33" spans="2:23" x14ac:dyDescent="0.3">
      <c r="B33" s="56"/>
      <c r="C33" s="56"/>
      <c r="D33" s="56"/>
      <c r="O33" s="184"/>
      <c r="P33" s="184"/>
      <c r="Q33" s="186"/>
      <c r="R33" s="185"/>
      <c r="S33" s="185"/>
    </row>
    <row r="34" spans="2:23" ht="37.5" customHeight="1" x14ac:dyDescent="0.3">
      <c r="B34" s="28">
        <v>3</v>
      </c>
      <c r="C34" s="426" t="s">
        <v>367</v>
      </c>
      <c r="D34" s="426"/>
      <c r="F34" s="106" t="s">
        <v>104</v>
      </c>
      <c r="G34" s="106"/>
      <c r="H34" s="106"/>
      <c r="O34" s="184"/>
      <c r="P34" s="184"/>
      <c r="Q34" s="208"/>
      <c r="R34" s="208"/>
      <c r="S34" s="208"/>
    </row>
    <row r="35" spans="2:23" ht="63.75" customHeight="1" x14ac:dyDescent="0.3">
      <c r="B35" s="28"/>
      <c r="C35" s="426"/>
      <c r="D35" s="426"/>
      <c r="F35" s="190" t="s">
        <v>182</v>
      </c>
      <c r="G35" s="190" t="s">
        <v>183</v>
      </c>
      <c r="H35" s="190" t="s">
        <v>180</v>
      </c>
      <c r="N35" s="52" t="s">
        <v>243</v>
      </c>
      <c r="Q35" s="208"/>
      <c r="R35" s="208"/>
      <c r="S35" s="208"/>
    </row>
    <row r="36" spans="2:23" s="271" customFormat="1" ht="17.25" customHeight="1" x14ac:dyDescent="0.3">
      <c r="B36" s="275"/>
      <c r="C36" s="426"/>
      <c r="D36" s="426"/>
      <c r="E36" s="185"/>
      <c r="F36" s="87">
        <v>78</v>
      </c>
      <c r="G36" s="294">
        <v>90000</v>
      </c>
      <c r="H36" s="290">
        <v>0.01</v>
      </c>
      <c r="I36" s="185"/>
      <c r="J36" s="271" t="s">
        <v>368</v>
      </c>
      <c r="N36" s="271" t="s">
        <v>243</v>
      </c>
      <c r="Q36" s="208"/>
      <c r="R36" s="208"/>
      <c r="S36" s="208"/>
    </row>
    <row r="37" spans="2:23" s="271" customFormat="1" ht="17.25" customHeight="1" x14ac:dyDescent="0.3">
      <c r="B37" s="275"/>
      <c r="C37" s="426"/>
      <c r="D37" s="426"/>
      <c r="E37" s="185"/>
      <c r="F37" s="87"/>
      <c r="G37"/>
      <c r="H37"/>
      <c r="I37" s="185"/>
      <c r="N37" s="271" t="s">
        <v>243</v>
      </c>
      <c r="Q37" s="208"/>
      <c r="R37" s="208"/>
      <c r="S37" s="208"/>
    </row>
    <row r="38" spans="2:23" s="271" customFormat="1" ht="17.25" customHeight="1" x14ac:dyDescent="0.3">
      <c r="B38" s="275"/>
      <c r="C38" s="426"/>
      <c r="D38" s="426"/>
      <c r="E38" s="185"/>
      <c r="F38" s="462" t="s">
        <v>184</v>
      </c>
      <c r="G38" s="462"/>
      <c r="H38" s="462"/>
      <c r="I38" s="185"/>
      <c r="N38" s="271" t="s">
        <v>243</v>
      </c>
      <c r="Q38" s="186"/>
      <c r="R38" s="185"/>
      <c r="S38" s="185"/>
    </row>
    <row r="39" spans="2:23" x14ac:dyDescent="0.3">
      <c r="B39" s="28"/>
      <c r="C39" s="426"/>
      <c r="D39" s="426"/>
      <c r="F39" s="255">
        <f>F36*G36*H36</f>
        <v>70200</v>
      </c>
      <c r="N39" s="271" t="s">
        <v>243</v>
      </c>
      <c r="Q39" s="55"/>
      <c r="R39" s="53"/>
      <c r="S39" s="53"/>
    </row>
    <row r="40" spans="2:23" x14ac:dyDescent="0.3">
      <c r="B40" s="52"/>
      <c r="C40" s="52"/>
      <c r="F40" s="91"/>
      <c r="N40" s="271" t="s">
        <v>243</v>
      </c>
      <c r="Q40" s="55"/>
      <c r="R40" s="53"/>
      <c r="S40" s="53"/>
    </row>
    <row r="41" spans="2:23" ht="16.5" customHeight="1" x14ac:dyDescent="0.3">
      <c r="B41" s="28">
        <v>4</v>
      </c>
      <c r="C41" s="426" t="s">
        <v>206</v>
      </c>
      <c r="D41" s="426"/>
      <c r="F41" s="469" t="s">
        <v>207</v>
      </c>
      <c r="G41" s="469"/>
      <c r="H41" s="469"/>
      <c r="N41" s="271" t="s">
        <v>243</v>
      </c>
      <c r="Q41" s="55"/>
      <c r="R41" s="53"/>
      <c r="S41" s="53"/>
    </row>
    <row r="42" spans="2:23" x14ac:dyDescent="0.3">
      <c r="B42" s="28"/>
      <c r="C42" s="426"/>
      <c r="D42" s="426"/>
      <c r="F42" s="52" t="s">
        <v>103</v>
      </c>
      <c r="G42" s="292">
        <f>F28</f>
        <v>326702.46575342462</v>
      </c>
      <c r="I42"/>
      <c r="J42"/>
      <c r="N42" s="271" t="s">
        <v>243</v>
      </c>
      <c r="Q42" s="55"/>
      <c r="R42" s="53"/>
      <c r="S42" s="53"/>
    </row>
    <row r="43" spans="2:23" ht="17.25" thickBot="1" x14ac:dyDescent="0.35">
      <c r="B43" s="28"/>
      <c r="C43" s="426"/>
      <c r="D43" s="426"/>
      <c r="F43" s="112" t="s">
        <v>104</v>
      </c>
      <c r="G43" s="293">
        <f>F39</f>
        <v>70200</v>
      </c>
      <c r="H43" s="112"/>
      <c r="I43"/>
      <c r="J43"/>
      <c r="N43" s="271" t="s">
        <v>243</v>
      </c>
      <c r="Q43" s="55"/>
      <c r="R43" s="53"/>
      <c r="S43" s="53"/>
      <c r="T43" s="53"/>
      <c r="U43" s="53"/>
      <c r="V43" s="53"/>
      <c r="W43" s="53"/>
    </row>
    <row r="44" spans="2:23" ht="18" thickTop="1" thickBot="1" x14ac:dyDescent="0.35">
      <c r="B44" s="28"/>
      <c r="C44" s="426"/>
      <c r="D44" s="426"/>
      <c r="F44" s="110" t="s">
        <v>57</v>
      </c>
      <c r="G44" s="113">
        <f>SUM(G42:G43)</f>
        <v>396902.46575342462</v>
      </c>
      <c r="H44" s="110"/>
      <c r="I44"/>
      <c r="J44"/>
      <c r="N44" s="271" t="s">
        <v>243</v>
      </c>
      <c r="Q44" s="55"/>
      <c r="R44" s="53"/>
      <c r="S44" s="53"/>
      <c r="T44" s="53"/>
      <c r="U44" s="53"/>
      <c r="V44" s="53"/>
      <c r="W44" s="53"/>
    </row>
    <row r="45" spans="2:23" s="271" customFormat="1" x14ac:dyDescent="0.3">
      <c r="B45" s="222"/>
      <c r="C45" s="266"/>
      <c r="D45" s="266"/>
      <c r="E45" s="185"/>
      <c r="F45" s="110"/>
      <c r="G45"/>
      <c r="H45" s="110"/>
      <c r="N45" s="271" t="s">
        <v>243</v>
      </c>
      <c r="Q45" s="186"/>
      <c r="R45" s="185"/>
      <c r="S45" s="185"/>
      <c r="T45" s="185"/>
      <c r="U45" s="185"/>
      <c r="V45" s="185"/>
      <c r="W45" s="185"/>
    </row>
    <row r="46" spans="2:23" x14ac:dyDescent="0.3">
      <c r="B46" s="52"/>
      <c r="C46" s="52"/>
      <c r="F46"/>
      <c r="G46"/>
      <c r="H46"/>
      <c r="I46"/>
      <c r="J46"/>
      <c r="K46"/>
      <c r="L46"/>
      <c r="N46" s="271" t="s">
        <v>243</v>
      </c>
      <c r="Q46" s="22"/>
      <c r="R46" s="53"/>
      <c r="T46" s="53"/>
      <c r="U46" s="53"/>
      <c r="V46" s="53"/>
      <c r="W46" s="53"/>
    </row>
    <row r="47" spans="2:23" x14ac:dyDescent="0.3">
      <c r="B47" s="52"/>
      <c r="C47" s="52"/>
      <c r="F47"/>
      <c r="G47"/>
      <c r="H47"/>
      <c r="I47"/>
      <c r="J47"/>
      <c r="K47"/>
      <c r="L47"/>
      <c r="N47" s="271" t="s">
        <v>243</v>
      </c>
      <c r="Q47" s="22"/>
      <c r="R47" s="53"/>
      <c r="T47" s="53"/>
      <c r="U47" s="53"/>
      <c r="V47" s="53"/>
      <c r="W47" s="53"/>
    </row>
    <row r="48" spans="2:23" x14ac:dyDescent="0.3">
      <c r="B48" s="52"/>
      <c r="C48" s="52"/>
      <c r="F48"/>
      <c r="G48"/>
      <c r="H48"/>
      <c r="I48"/>
      <c r="J48"/>
      <c r="K48"/>
      <c r="L48"/>
      <c r="N48" s="271" t="s">
        <v>243</v>
      </c>
      <c r="Q48" s="22"/>
      <c r="R48" s="53"/>
      <c r="T48" s="53"/>
      <c r="U48" s="53"/>
      <c r="V48" s="53"/>
      <c r="W48" s="53"/>
    </row>
    <row r="49" spans="1:23" x14ac:dyDescent="0.3">
      <c r="B49" s="52"/>
      <c r="C49" s="52"/>
      <c r="F49"/>
      <c r="G49"/>
      <c r="H49"/>
      <c r="I49"/>
      <c r="J49"/>
      <c r="K49"/>
      <c r="L49"/>
      <c r="N49" s="271" t="s">
        <v>243</v>
      </c>
      <c r="Q49" s="22"/>
      <c r="R49" s="53"/>
      <c r="T49" s="53"/>
      <c r="U49" s="53"/>
      <c r="V49" s="53"/>
      <c r="W49" s="53"/>
    </row>
    <row r="50" spans="1:23" x14ac:dyDescent="0.3">
      <c r="B50" s="52"/>
      <c r="C50" s="52"/>
      <c r="F50"/>
      <c r="G50"/>
      <c r="H50"/>
      <c r="I50"/>
      <c r="J50"/>
      <c r="K50"/>
      <c r="L50"/>
      <c r="N50" s="271" t="s">
        <v>243</v>
      </c>
      <c r="Q50" s="22"/>
      <c r="R50" s="53"/>
      <c r="T50" s="53"/>
      <c r="U50" s="53"/>
      <c r="V50" s="53"/>
      <c r="W50" s="53"/>
    </row>
    <row r="51" spans="1:23" x14ac:dyDescent="0.3">
      <c r="B51" s="52"/>
      <c r="C51" s="52"/>
      <c r="F51"/>
      <c r="G51"/>
      <c r="H51"/>
      <c r="I51"/>
      <c r="J51"/>
      <c r="K51"/>
      <c r="L51"/>
      <c r="N51" s="271" t="s">
        <v>243</v>
      </c>
      <c r="Q51" s="22"/>
      <c r="R51" s="53"/>
      <c r="T51" s="53"/>
      <c r="U51" s="53"/>
      <c r="V51" s="53"/>
      <c r="W51" s="53"/>
    </row>
    <row r="52" spans="1:23" ht="16.5" customHeight="1" x14ac:dyDescent="0.3">
      <c r="B52" s="52"/>
      <c r="C52" s="52"/>
      <c r="F52"/>
      <c r="G52"/>
      <c r="H52"/>
      <c r="I52"/>
      <c r="J52"/>
      <c r="K52"/>
      <c r="L52"/>
      <c r="N52" s="271" t="s">
        <v>243</v>
      </c>
    </row>
    <row r="53" spans="1:23" x14ac:dyDescent="0.3">
      <c r="B53" s="52"/>
      <c r="C53" s="52"/>
      <c r="F53"/>
      <c r="G53"/>
      <c r="H53"/>
      <c r="I53"/>
      <c r="J53"/>
      <c r="K53"/>
      <c r="L53"/>
      <c r="N53" s="271" t="s">
        <v>243</v>
      </c>
    </row>
    <row r="54" spans="1:23" x14ac:dyDescent="0.3">
      <c r="B54" s="52"/>
      <c r="C54" s="52"/>
      <c r="F54"/>
      <c r="G54"/>
      <c r="H54"/>
      <c r="I54"/>
      <c r="J54"/>
      <c r="K54"/>
      <c r="L54"/>
    </row>
    <row r="55" spans="1:23" x14ac:dyDescent="0.3">
      <c r="B55" s="52"/>
      <c r="C55" s="52"/>
      <c r="F55"/>
      <c r="G55"/>
      <c r="H55"/>
      <c r="I55"/>
      <c r="J55"/>
      <c r="K55"/>
      <c r="L55"/>
    </row>
    <row r="56" spans="1:23" x14ac:dyDescent="0.3">
      <c r="B56" s="52"/>
      <c r="C56" s="52"/>
      <c r="F56"/>
      <c r="G56"/>
      <c r="H56"/>
      <c r="I56"/>
      <c r="J56"/>
      <c r="K56"/>
      <c r="L56"/>
    </row>
    <row r="57" spans="1:23" s="53" customFormat="1" ht="17.25" customHeight="1" x14ac:dyDescent="0.3">
      <c r="A57" s="52"/>
      <c r="B57" s="52"/>
      <c r="C57" s="52"/>
      <c r="D57" s="52"/>
      <c r="F57" s="52"/>
      <c r="G57" s="52"/>
      <c r="H57" s="52"/>
      <c r="J57" s="52"/>
      <c r="K57" s="52"/>
      <c r="L57" s="52"/>
      <c r="M57" s="52"/>
      <c r="N57" s="52"/>
      <c r="O57" s="52"/>
      <c r="P57" s="52"/>
      <c r="Q57" s="52"/>
      <c r="R57" s="52"/>
      <c r="S57" s="52"/>
      <c r="T57" s="52"/>
      <c r="U57" s="52"/>
      <c r="V57" s="52"/>
      <c r="W57" s="52"/>
    </row>
    <row r="58" spans="1:23" s="53" customFormat="1" x14ac:dyDescent="0.3">
      <c r="A58" s="52"/>
      <c r="B58" s="52"/>
      <c r="C58" s="20"/>
      <c r="D58" s="58"/>
      <c r="F58" s="52"/>
      <c r="G58" s="52"/>
      <c r="H58" s="52"/>
      <c r="J58" s="52"/>
      <c r="K58" s="52"/>
      <c r="L58" s="52"/>
      <c r="M58" s="52"/>
      <c r="N58" s="52"/>
      <c r="O58" s="52"/>
      <c r="P58" s="52"/>
      <c r="Q58" s="52"/>
      <c r="R58" s="52"/>
      <c r="S58" s="52"/>
      <c r="T58" s="52"/>
      <c r="U58" s="52"/>
      <c r="V58" s="52"/>
      <c r="W58" s="52"/>
    </row>
    <row r="59" spans="1:23" x14ac:dyDescent="0.3">
      <c r="B59" s="52"/>
    </row>
    <row r="60" spans="1:23" x14ac:dyDescent="0.3">
      <c r="B60" s="52"/>
    </row>
    <row r="61" spans="1:23" x14ac:dyDescent="0.3">
      <c r="B61" s="52"/>
    </row>
  </sheetData>
  <mergeCells count="17">
    <mergeCell ref="L20:L21"/>
    <mergeCell ref="M20:M21"/>
    <mergeCell ref="C20:D25"/>
    <mergeCell ref="J20:J21"/>
    <mergeCell ref="K20:K21"/>
    <mergeCell ref="K2:M2"/>
    <mergeCell ref="K3:M3"/>
    <mergeCell ref="K4:M4"/>
    <mergeCell ref="B11:M14"/>
    <mergeCell ref="C17:M17"/>
    <mergeCell ref="K5:M5"/>
    <mergeCell ref="C27:D32"/>
    <mergeCell ref="C34:D39"/>
    <mergeCell ref="C41:D44"/>
    <mergeCell ref="F27:H27"/>
    <mergeCell ref="F41:H41"/>
    <mergeCell ref="F38:H3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Z67"/>
  <sheetViews>
    <sheetView topLeftCell="A7" zoomScale="70" zoomScaleNormal="70" zoomScaleSheetLayoutView="100" workbookViewId="0">
      <selection activeCell="M21" sqref="M21"/>
    </sheetView>
  </sheetViews>
  <sheetFormatPr defaultRowHeight="16.5" x14ac:dyDescent="0.3"/>
  <cols>
    <col min="1" max="1" width="3.5" style="52" customWidth="1"/>
    <col min="2" max="2" width="3.125" style="10" customWidth="1"/>
    <col min="3" max="3" width="24.125" style="20" customWidth="1"/>
    <col min="4" max="4" width="43.25" style="52" customWidth="1"/>
    <col min="5" max="5" width="1.625" style="53" customWidth="1"/>
    <col min="6" max="6" width="22.125" style="52" customWidth="1"/>
    <col min="7" max="7" width="17.75" style="52" customWidth="1"/>
    <col min="8" max="8" width="18" style="52" customWidth="1"/>
    <col min="9" max="11" width="18" style="271" customWidth="1"/>
    <col min="12" max="12" width="1.625" style="53" customWidth="1"/>
    <col min="13" max="13" width="16.125" style="52" customWidth="1"/>
    <col min="14" max="15" width="11.25" style="52" customWidth="1"/>
    <col min="16" max="16" width="11" style="52" customWidth="1"/>
    <col min="17" max="21" width="9" style="52"/>
    <col min="22" max="22" width="14.125" style="52" customWidth="1"/>
    <col min="23" max="16384" width="9" style="52"/>
  </cols>
  <sheetData>
    <row r="1" spans="2:16" x14ac:dyDescent="0.3">
      <c r="C1" s="52"/>
      <c r="L1" s="52"/>
    </row>
    <row r="2" spans="2:16" x14ac:dyDescent="0.3">
      <c r="C2" s="26" t="s">
        <v>10</v>
      </c>
      <c r="D2" s="13" t="s">
        <v>15</v>
      </c>
      <c r="E2" s="32"/>
      <c r="L2" s="52"/>
      <c r="M2" s="26" t="s">
        <v>23</v>
      </c>
      <c r="N2" s="427" t="s">
        <v>140</v>
      </c>
      <c r="O2" s="427"/>
      <c r="P2" s="427"/>
    </row>
    <row r="3" spans="2:16" x14ac:dyDescent="0.3">
      <c r="C3" s="26" t="s">
        <v>11</v>
      </c>
      <c r="D3" s="13" t="s">
        <v>248</v>
      </c>
      <c r="L3" s="52"/>
      <c r="N3" s="441" t="s">
        <v>13</v>
      </c>
      <c r="O3" s="441"/>
      <c r="P3" s="441"/>
    </row>
    <row r="4" spans="2:16" ht="17.25" thickBot="1" x14ac:dyDescent="0.35">
      <c r="C4" s="26" t="s">
        <v>22</v>
      </c>
      <c r="D4" s="13" t="s">
        <v>124</v>
      </c>
      <c r="F4" s="20"/>
      <c r="L4" s="52"/>
      <c r="N4" s="442" t="s">
        <v>141</v>
      </c>
      <c r="O4" s="442"/>
      <c r="P4" s="442"/>
    </row>
    <row r="5" spans="2:16" ht="17.25" thickBot="1" x14ac:dyDescent="0.35">
      <c r="C5" s="26"/>
      <c r="D5" s="13"/>
      <c r="L5" s="52"/>
      <c r="N5" s="444" t="s">
        <v>55</v>
      </c>
      <c r="O5" s="445"/>
      <c r="P5" s="446"/>
    </row>
    <row r="6" spans="2:16" s="271" customFormat="1" x14ac:dyDescent="0.3">
      <c r="B6" s="10"/>
      <c r="C6" s="207"/>
      <c r="D6" s="32"/>
      <c r="E6" s="185"/>
      <c r="N6" s="303"/>
      <c r="O6" s="303"/>
      <c r="P6" s="303"/>
    </row>
    <row r="7" spans="2:16" s="271" customFormat="1" x14ac:dyDescent="0.3">
      <c r="B7" s="10"/>
      <c r="C7" s="207" t="s">
        <v>215</v>
      </c>
      <c r="D7" s="359">
        <f>F33</f>
        <v>1500000</v>
      </c>
      <c r="E7" s="185"/>
      <c r="N7" s="303"/>
      <c r="O7" s="303"/>
      <c r="P7" s="303"/>
    </row>
    <row r="8" spans="2:16" ht="63.75" customHeight="1" x14ac:dyDescent="0.3">
      <c r="B8" s="38"/>
      <c r="C8" s="73" t="s">
        <v>12</v>
      </c>
      <c r="D8" s="72" t="s">
        <v>118</v>
      </c>
      <c r="E8" s="33"/>
      <c r="F8" s="7"/>
      <c r="G8" s="7"/>
      <c r="H8" s="7"/>
      <c r="I8" s="7"/>
      <c r="J8" s="7"/>
      <c r="K8" s="7"/>
      <c r="L8" s="7"/>
      <c r="M8" s="7"/>
      <c r="N8" s="7"/>
      <c r="O8" s="7"/>
      <c r="P8" s="7"/>
    </row>
    <row r="9" spans="2:16" x14ac:dyDescent="0.3">
      <c r="C9" s="52"/>
      <c r="L9" s="52"/>
    </row>
    <row r="10" spans="2:16" x14ac:dyDescent="0.3">
      <c r="B10" s="27" t="s">
        <v>14</v>
      </c>
      <c r="C10" s="6"/>
      <c r="D10" s="6"/>
      <c r="E10" s="6"/>
      <c r="F10" s="6"/>
      <c r="G10" s="6"/>
      <c r="H10" s="6"/>
      <c r="I10" s="202"/>
      <c r="J10" s="202"/>
      <c r="K10" s="202"/>
      <c r="L10" s="6"/>
      <c r="M10" s="6"/>
      <c r="N10" s="6"/>
      <c r="O10" s="6"/>
      <c r="P10" s="6"/>
    </row>
    <row r="11" spans="2:16" ht="16.5" customHeight="1" x14ac:dyDescent="0.3">
      <c r="B11" s="463" t="s">
        <v>369</v>
      </c>
      <c r="C11" s="463"/>
      <c r="D11" s="463"/>
      <c r="E11" s="463"/>
      <c r="F11" s="463"/>
      <c r="G11" s="463"/>
      <c r="H11" s="463"/>
      <c r="I11" s="463"/>
      <c r="J11" s="463"/>
      <c r="K11" s="463"/>
      <c r="L11" s="463"/>
      <c r="M11" s="463"/>
      <c r="N11" s="463"/>
      <c r="O11" s="463"/>
      <c r="P11" s="463"/>
    </row>
    <row r="12" spans="2:16" ht="16.5" customHeight="1" x14ac:dyDescent="0.3">
      <c r="B12" s="463"/>
      <c r="C12" s="463"/>
      <c r="D12" s="463"/>
      <c r="E12" s="463"/>
      <c r="F12" s="463"/>
      <c r="G12" s="463"/>
      <c r="H12" s="463"/>
      <c r="I12" s="463"/>
      <c r="J12" s="463"/>
      <c r="K12" s="463"/>
      <c r="L12" s="463"/>
      <c r="M12" s="463"/>
      <c r="N12" s="463"/>
      <c r="O12" s="463"/>
      <c r="P12" s="463"/>
    </row>
    <row r="13" spans="2:16" x14ac:dyDescent="0.3">
      <c r="B13" s="463"/>
      <c r="C13" s="463"/>
      <c r="D13" s="463"/>
      <c r="E13" s="463"/>
      <c r="F13" s="463"/>
      <c r="G13" s="463"/>
      <c r="H13" s="463"/>
      <c r="I13" s="463"/>
      <c r="J13" s="463"/>
      <c r="K13" s="463"/>
      <c r="L13" s="463"/>
      <c r="M13" s="463"/>
      <c r="N13" s="463"/>
      <c r="O13" s="463"/>
      <c r="P13" s="463"/>
    </row>
    <row r="14" spans="2:16" x14ac:dyDescent="0.3">
      <c r="B14" s="78"/>
      <c r="C14" s="78"/>
      <c r="D14" s="78"/>
      <c r="E14" s="78"/>
      <c r="F14" s="78"/>
      <c r="G14" s="78"/>
      <c r="H14" s="78"/>
      <c r="I14" s="266"/>
      <c r="J14" s="266"/>
      <c r="K14" s="266"/>
      <c r="L14" s="78"/>
      <c r="M14" s="78"/>
      <c r="N14" s="78"/>
      <c r="O14" s="78"/>
      <c r="P14" s="78"/>
    </row>
    <row r="15" spans="2:16" x14ac:dyDescent="0.3">
      <c r="B15" s="27" t="s">
        <v>16</v>
      </c>
      <c r="C15" s="6"/>
      <c r="D15" s="6"/>
      <c r="E15" s="6"/>
      <c r="F15" s="6"/>
      <c r="G15" s="6"/>
      <c r="H15" s="6"/>
      <c r="I15" s="202"/>
      <c r="J15" s="202"/>
      <c r="K15" s="202"/>
      <c r="L15" s="6"/>
      <c r="M15" s="6"/>
      <c r="N15" s="6"/>
      <c r="O15" s="6"/>
      <c r="P15" s="6"/>
    </row>
    <row r="16" spans="2:16" x14ac:dyDescent="0.3">
      <c r="B16" s="28">
        <v>1</v>
      </c>
      <c r="C16" s="425" t="s">
        <v>297</v>
      </c>
      <c r="D16" s="475"/>
      <c r="E16" s="475"/>
      <c r="F16" s="475"/>
      <c r="G16" s="475"/>
      <c r="H16" s="475"/>
      <c r="I16" s="475"/>
      <c r="J16" s="475"/>
      <c r="K16" s="475"/>
      <c r="L16" s="475"/>
      <c r="M16" s="475"/>
      <c r="N16" s="475"/>
      <c r="O16" s="475"/>
      <c r="P16" s="475"/>
    </row>
    <row r="17" spans="2:22" x14ac:dyDescent="0.3">
      <c r="C17" s="52"/>
      <c r="L17" s="52"/>
    </row>
    <row r="18" spans="2:22" x14ac:dyDescent="0.3">
      <c r="B18" s="27" t="s">
        <v>26</v>
      </c>
      <c r="C18" s="6"/>
      <c r="D18" s="6"/>
      <c r="F18" s="25" t="s">
        <v>25</v>
      </c>
      <c r="G18" s="6"/>
      <c r="H18" s="6"/>
      <c r="I18" s="202"/>
      <c r="J18" s="202"/>
      <c r="K18" s="202"/>
      <c r="M18" s="25" t="s">
        <v>24</v>
      </c>
      <c r="N18" s="25"/>
      <c r="O18" s="25"/>
      <c r="P18" s="6"/>
    </row>
    <row r="19" spans="2:22" ht="71.25" customHeight="1" x14ac:dyDescent="0.3">
      <c r="B19" s="28">
        <v>1</v>
      </c>
      <c r="C19" s="460" t="s">
        <v>370</v>
      </c>
      <c r="D19" s="460"/>
      <c r="E19" s="79"/>
      <c r="F19" s="190" t="s">
        <v>80</v>
      </c>
      <c r="G19" s="190" t="s">
        <v>168</v>
      </c>
      <c r="H19" s="190" t="s">
        <v>172</v>
      </c>
      <c r="I19" s="190"/>
      <c r="J19" s="190"/>
      <c r="K19" s="190"/>
      <c r="M19" s="45" t="s">
        <v>29</v>
      </c>
      <c r="N19" s="45" t="s">
        <v>34</v>
      </c>
      <c r="O19" s="45" t="s">
        <v>19</v>
      </c>
      <c r="P19" s="46" t="s">
        <v>31</v>
      </c>
      <c r="Q19" s="79"/>
      <c r="R19" s="53"/>
    </row>
    <row r="20" spans="2:22" x14ac:dyDescent="0.3">
      <c r="B20" s="28"/>
      <c r="C20" s="460"/>
      <c r="D20" s="460"/>
      <c r="E20" s="79"/>
      <c r="F20" s="48">
        <v>2000</v>
      </c>
      <c r="G20" s="48">
        <v>1500</v>
      </c>
      <c r="H20" s="5">
        <f>F20-G20</f>
        <v>500</v>
      </c>
      <c r="I20" s="5"/>
      <c r="J20" s="5"/>
      <c r="K20" s="5"/>
      <c r="M20" s="271" t="s">
        <v>261</v>
      </c>
      <c r="N20" s="74"/>
      <c r="O20" s="74"/>
      <c r="P20" s="88"/>
      <c r="Q20" s="79"/>
      <c r="R20" s="53"/>
    </row>
    <row r="21" spans="2:22" x14ac:dyDescent="0.3">
      <c r="B21" s="28"/>
      <c r="C21" s="460"/>
      <c r="D21" s="460"/>
      <c r="E21" s="79"/>
      <c r="Q21" s="79"/>
      <c r="R21" s="53"/>
    </row>
    <row r="22" spans="2:22" x14ac:dyDescent="0.3">
      <c r="B22" s="52"/>
      <c r="T22" s="55"/>
      <c r="U22" s="53"/>
      <c r="V22" s="53"/>
    </row>
    <row r="23" spans="2:22" ht="36.75" customHeight="1" x14ac:dyDescent="0.3">
      <c r="B23" s="28">
        <v>2</v>
      </c>
      <c r="C23" s="426" t="s">
        <v>371</v>
      </c>
      <c r="D23" s="426"/>
      <c r="F23" s="474" t="s">
        <v>173</v>
      </c>
      <c r="G23" s="474"/>
      <c r="H23" s="474"/>
      <c r="I23" s="474"/>
      <c r="J23" s="474"/>
      <c r="K23" s="474"/>
      <c r="N23" s="53"/>
      <c r="O23" s="53"/>
      <c r="P23" s="53"/>
      <c r="T23" s="55"/>
      <c r="U23" s="53"/>
      <c r="V23" s="53"/>
    </row>
    <row r="24" spans="2:22" s="271" customFormat="1" x14ac:dyDescent="0.3">
      <c r="B24" s="353"/>
      <c r="C24" s="426"/>
      <c r="D24" s="426"/>
      <c r="E24" s="185"/>
      <c r="F24" s="273" t="s">
        <v>245</v>
      </c>
      <c r="G24" s="354"/>
      <c r="H24" s="354"/>
      <c r="I24" s="354"/>
      <c r="J24" s="354"/>
      <c r="K24" s="354"/>
      <c r="N24" s="185"/>
      <c r="O24" s="185"/>
      <c r="P24" s="185"/>
      <c r="T24" s="186"/>
      <c r="U24" s="185"/>
      <c r="V24" s="185"/>
    </row>
    <row r="25" spans="2:22" s="271" customFormat="1" x14ac:dyDescent="0.3">
      <c r="B25" s="353"/>
      <c r="C25" s="426"/>
      <c r="D25" s="426"/>
      <c r="E25" s="185"/>
      <c r="F25" s="271" t="s">
        <v>1</v>
      </c>
      <c r="N25" s="185"/>
      <c r="O25" s="185"/>
      <c r="P25" s="185"/>
      <c r="T25" s="186"/>
      <c r="U25" s="185"/>
      <c r="V25" s="185"/>
    </row>
    <row r="26" spans="2:22" s="271" customFormat="1" x14ac:dyDescent="0.3">
      <c r="B26" s="353"/>
      <c r="C26" s="426"/>
      <c r="D26" s="426"/>
      <c r="E26" s="185"/>
      <c r="N26" s="185"/>
      <c r="O26" s="185"/>
      <c r="P26" s="185"/>
      <c r="T26" s="186"/>
      <c r="U26" s="185"/>
      <c r="V26" s="185"/>
    </row>
    <row r="27" spans="2:22" s="271" customFormat="1" x14ac:dyDescent="0.3">
      <c r="B27" s="275"/>
      <c r="C27" s="426"/>
      <c r="D27" s="426"/>
      <c r="E27" s="185"/>
      <c r="F27" s="273" t="s">
        <v>244</v>
      </c>
      <c r="G27" s="270"/>
      <c r="H27" s="270"/>
      <c r="I27" s="270"/>
      <c r="J27" s="270"/>
      <c r="K27" s="270"/>
      <c r="L27" s="185"/>
      <c r="N27" s="185"/>
      <c r="O27" s="185"/>
      <c r="P27" s="185"/>
      <c r="T27" s="186"/>
      <c r="U27" s="185"/>
      <c r="V27" s="185"/>
    </row>
    <row r="28" spans="2:22" ht="49.5" x14ac:dyDescent="0.3">
      <c r="B28" s="28"/>
      <c r="C28" s="426"/>
      <c r="D28" s="426"/>
      <c r="F28" s="211" t="s">
        <v>178</v>
      </c>
      <c r="G28" s="369" t="s">
        <v>174</v>
      </c>
      <c r="H28" s="369" t="s">
        <v>175</v>
      </c>
      <c r="I28" s="369" t="s">
        <v>176</v>
      </c>
      <c r="J28" s="211" t="s">
        <v>296</v>
      </c>
      <c r="K28" s="369" t="s">
        <v>177</v>
      </c>
      <c r="L28" s="44"/>
      <c r="N28" s="44"/>
      <c r="O28" s="44"/>
      <c r="P28" s="44"/>
      <c r="T28" s="55"/>
      <c r="U28" s="53"/>
      <c r="V28" s="53"/>
    </row>
    <row r="29" spans="2:22" x14ac:dyDescent="0.3">
      <c r="B29" s="28"/>
      <c r="C29" s="426"/>
      <c r="D29" s="426"/>
      <c r="F29" s="120" t="s">
        <v>294</v>
      </c>
      <c r="G29" s="372">
        <v>1000</v>
      </c>
      <c r="H29" s="372">
        <v>750</v>
      </c>
      <c r="I29" s="372">
        <f>G29-H29</f>
        <v>250</v>
      </c>
      <c r="J29" s="366">
        <v>5000</v>
      </c>
      <c r="K29" s="367">
        <f>I29*J29</f>
        <v>1250000</v>
      </c>
      <c r="L29" s="44"/>
      <c r="N29" s="44"/>
      <c r="O29" s="44"/>
      <c r="P29" s="44"/>
      <c r="T29" s="55"/>
      <c r="U29" s="53"/>
      <c r="V29" s="53"/>
    </row>
    <row r="30" spans="2:22" ht="33" customHeight="1" x14ac:dyDescent="0.3">
      <c r="B30" s="28"/>
      <c r="C30" s="426"/>
      <c r="D30" s="426"/>
      <c r="F30" s="370" t="s">
        <v>295</v>
      </c>
      <c r="G30" s="373">
        <v>1000</v>
      </c>
      <c r="H30" s="373">
        <v>750</v>
      </c>
      <c r="I30" s="373">
        <f>G30-H30</f>
        <v>250</v>
      </c>
      <c r="J30" s="368">
        <v>1000</v>
      </c>
      <c r="K30" s="368">
        <f>I30*J30</f>
        <v>250000</v>
      </c>
      <c r="L30" s="44"/>
      <c r="N30" s="44"/>
      <c r="O30" s="44"/>
      <c r="P30" s="44"/>
      <c r="T30" s="55"/>
      <c r="U30" s="53"/>
      <c r="V30" s="53"/>
    </row>
    <row r="31" spans="2:22" x14ac:dyDescent="0.3">
      <c r="B31" s="56"/>
      <c r="C31" s="56"/>
      <c r="D31" s="56"/>
      <c r="I31" s="52"/>
      <c r="J31" s="52"/>
      <c r="K31" s="52"/>
      <c r="M31" s="53"/>
      <c r="N31" s="53"/>
      <c r="O31" s="53"/>
      <c r="P31" s="53"/>
      <c r="T31" s="55"/>
      <c r="U31" s="53"/>
      <c r="V31" s="53"/>
    </row>
    <row r="32" spans="2:22" ht="34.5" customHeight="1" thickBot="1" x14ac:dyDescent="0.35">
      <c r="B32" s="28">
        <v>3</v>
      </c>
      <c r="C32" s="426" t="s">
        <v>208</v>
      </c>
      <c r="D32" s="426"/>
      <c r="F32" s="473" t="s">
        <v>209</v>
      </c>
      <c r="G32" s="473"/>
      <c r="H32" s="473"/>
      <c r="I32" s="270"/>
      <c r="J32" s="270"/>
      <c r="K32" s="270"/>
      <c r="M32" s="53"/>
      <c r="N32" s="53"/>
      <c r="O32" s="53"/>
      <c r="P32" s="53"/>
      <c r="T32" s="55"/>
      <c r="U32" s="53"/>
      <c r="V32" s="53"/>
    </row>
    <row r="33" spans="2:26" ht="17.25" thickBot="1" x14ac:dyDescent="0.35">
      <c r="B33" s="28"/>
      <c r="C33" s="426"/>
      <c r="D33" s="426"/>
      <c r="F33" s="289">
        <f>K30+K29</f>
        <v>1500000</v>
      </c>
      <c r="G33" s="119"/>
      <c r="H33" s="111"/>
      <c r="I33" s="111"/>
      <c r="J33" s="111"/>
      <c r="K33" s="111"/>
      <c r="M33" s="53"/>
      <c r="N33" s="53"/>
      <c r="O33" s="53"/>
      <c r="P33" s="53"/>
      <c r="T33" s="55"/>
      <c r="U33" s="53"/>
      <c r="V33" s="53"/>
    </row>
    <row r="34" spans="2:26" s="53" customFormat="1" x14ac:dyDescent="0.3">
      <c r="B34" s="90"/>
      <c r="F34" s="92"/>
      <c r="G34" s="44"/>
      <c r="H34" s="44"/>
      <c r="I34" s="44"/>
      <c r="J34" s="44"/>
      <c r="K34" s="44"/>
      <c r="M34" s="93"/>
      <c r="P34" s="54"/>
      <c r="T34" s="55"/>
    </row>
    <row r="35" spans="2:26" ht="16.5" customHeight="1" x14ac:dyDescent="0.3">
      <c r="B35" s="90"/>
      <c r="C35" s="52"/>
      <c r="F35"/>
      <c r="G35"/>
      <c r="H35"/>
      <c r="I35"/>
      <c r="J35"/>
      <c r="K35"/>
      <c r="M35" s="53"/>
      <c r="N35" s="53"/>
      <c r="O35" s="53"/>
      <c r="P35" s="53"/>
      <c r="T35" s="55"/>
      <c r="U35" s="53"/>
      <c r="V35" s="53"/>
    </row>
    <row r="36" spans="2:26" x14ac:dyDescent="0.3">
      <c r="B36" s="90"/>
      <c r="C36" s="52"/>
      <c r="F36"/>
      <c r="G36"/>
      <c r="H36"/>
      <c r="I36"/>
      <c r="J36"/>
      <c r="K36"/>
      <c r="M36" s="53"/>
      <c r="N36" s="53"/>
      <c r="O36" s="53"/>
      <c r="P36" s="53"/>
      <c r="T36" s="55"/>
      <c r="U36" s="53"/>
      <c r="V36" s="53"/>
    </row>
    <row r="37" spans="2:26" x14ac:dyDescent="0.3">
      <c r="B37" s="90"/>
      <c r="C37" s="52"/>
      <c r="F37"/>
      <c r="G37"/>
      <c r="H37"/>
      <c r="I37"/>
      <c r="J37"/>
      <c r="K37"/>
      <c r="M37" s="53"/>
      <c r="N37" s="53"/>
      <c r="O37" s="53"/>
      <c r="P37" s="53"/>
      <c r="T37" s="55"/>
      <c r="U37" s="53"/>
      <c r="V37" s="53"/>
    </row>
    <row r="38" spans="2:26" x14ac:dyDescent="0.3">
      <c r="B38" s="90"/>
      <c r="C38" s="52"/>
      <c r="M38" s="53"/>
      <c r="N38" s="53"/>
      <c r="O38" s="53"/>
      <c r="P38" s="53"/>
      <c r="T38" s="55"/>
      <c r="U38" s="53"/>
      <c r="V38" s="53"/>
    </row>
    <row r="39" spans="2:26" x14ac:dyDescent="0.3">
      <c r="B39" s="90"/>
      <c r="C39" s="52"/>
      <c r="M39" s="53"/>
      <c r="N39" s="53"/>
      <c r="O39" s="53"/>
      <c r="P39" s="53"/>
      <c r="T39" s="55"/>
      <c r="U39" s="53"/>
      <c r="V39" s="53"/>
    </row>
    <row r="40" spans="2:26" x14ac:dyDescent="0.3">
      <c r="B40" s="90"/>
      <c r="C40" s="52"/>
      <c r="M40" s="53"/>
      <c r="N40" s="53"/>
      <c r="O40" s="53"/>
      <c r="P40" s="53"/>
      <c r="T40" s="55"/>
      <c r="U40" s="53"/>
      <c r="V40" s="53"/>
    </row>
    <row r="41" spans="2:26" x14ac:dyDescent="0.3">
      <c r="B41" s="90"/>
      <c r="C41" s="52"/>
      <c r="F41" s="94"/>
      <c r="G41" s="94"/>
      <c r="H41" s="94"/>
      <c r="I41" s="94"/>
      <c r="J41" s="94"/>
      <c r="K41" s="94"/>
      <c r="M41" s="53"/>
      <c r="N41" s="53"/>
      <c r="O41" s="53"/>
      <c r="P41" s="53"/>
      <c r="T41" s="55"/>
      <c r="U41" s="53"/>
      <c r="V41" s="53"/>
    </row>
    <row r="42" spans="2:26" x14ac:dyDescent="0.3">
      <c r="B42" s="90"/>
      <c r="C42" s="52"/>
      <c r="F42" s="89"/>
      <c r="G42" s="89"/>
      <c r="H42" s="89"/>
      <c r="I42" s="89"/>
      <c r="J42" s="89"/>
      <c r="K42" s="89"/>
      <c r="M42" s="53"/>
      <c r="N42" s="53"/>
      <c r="O42" s="53"/>
      <c r="P42" s="53"/>
      <c r="T42" s="55"/>
      <c r="U42" s="53"/>
      <c r="V42" s="53"/>
    </row>
    <row r="43" spans="2:26" x14ac:dyDescent="0.3">
      <c r="B43" s="90"/>
      <c r="C43" s="52"/>
      <c r="F43" s="92"/>
      <c r="G43" s="53"/>
      <c r="H43" s="53"/>
      <c r="I43" s="185"/>
      <c r="J43" s="185"/>
      <c r="K43" s="185"/>
      <c r="M43" s="93"/>
      <c r="N43" s="53"/>
      <c r="O43" s="53"/>
      <c r="P43" s="54"/>
      <c r="T43" s="55"/>
      <c r="U43" s="53"/>
      <c r="V43" s="53"/>
      <c r="W43" s="53"/>
      <c r="X43" s="53"/>
      <c r="Y43" s="53"/>
      <c r="Z43" s="53"/>
    </row>
    <row r="44" spans="2:26" x14ac:dyDescent="0.3">
      <c r="B44" s="90"/>
      <c r="C44" s="52"/>
      <c r="F44" s="87"/>
      <c r="G44" s="53"/>
      <c r="H44" s="53"/>
      <c r="I44" s="185"/>
      <c r="J44" s="185"/>
      <c r="K44" s="185"/>
      <c r="M44" s="53"/>
      <c r="N44" s="53"/>
      <c r="O44" s="53"/>
      <c r="P44" s="53"/>
      <c r="T44" s="55"/>
      <c r="U44" s="53"/>
      <c r="V44" s="53"/>
      <c r="W44" s="53"/>
      <c r="X44" s="53"/>
      <c r="Y44" s="53"/>
      <c r="Z44" s="53"/>
    </row>
    <row r="45" spans="2:26" x14ac:dyDescent="0.3">
      <c r="B45" s="90"/>
      <c r="C45" s="52"/>
      <c r="F45" s="89"/>
      <c r="G45" s="89"/>
      <c r="H45" s="53"/>
      <c r="I45" s="185"/>
      <c r="J45" s="185"/>
      <c r="K45" s="185"/>
      <c r="M45" s="53"/>
      <c r="N45" s="53"/>
      <c r="O45" s="64"/>
      <c r="P45" s="39"/>
      <c r="T45" s="55"/>
      <c r="U45" s="53"/>
      <c r="V45" s="53"/>
      <c r="W45" s="53"/>
      <c r="X45" s="53"/>
      <c r="Y45" s="53"/>
      <c r="Z45" s="53"/>
    </row>
    <row r="46" spans="2:26" x14ac:dyDescent="0.3">
      <c r="B46" s="90"/>
      <c r="C46" s="52"/>
      <c r="F46" s="95"/>
      <c r="G46" s="96"/>
      <c r="H46" s="53"/>
      <c r="I46" s="185"/>
      <c r="J46" s="185"/>
      <c r="K46" s="185"/>
      <c r="M46" s="93"/>
      <c r="N46" s="53"/>
      <c r="O46" s="53"/>
      <c r="P46" s="54"/>
      <c r="T46" s="55"/>
      <c r="U46" s="53"/>
      <c r="V46" s="53"/>
      <c r="W46" s="53"/>
      <c r="X46" s="53"/>
      <c r="Y46" s="53"/>
      <c r="Z46" s="53"/>
    </row>
    <row r="47" spans="2:26" x14ac:dyDescent="0.3">
      <c r="B47" s="90"/>
      <c r="C47" s="52"/>
      <c r="F47" s="53"/>
      <c r="G47" s="53"/>
      <c r="H47" s="53"/>
      <c r="I47" s="185"/>
      <c r="J47" s="185"/>
      <c r="K47" s="185"/>
      <c r="M47" s="53"/>
      <c r="N47" s="53"/>
      <c r="O47" s="53"/>
      <c r="P47" s="53"/>
      <c r="T47" s="55"/>
      <c r="U47" s="53"/>
      <c r="V47" s="53"/>
      <c r="W47" s="53"/>
      <c r="X47" s="53"/>
      <c r="Y47" s="53"/>
      <c r="Z47" s="53"/>
    </row>
    <row r="48" spans="2:26" x14ac:dyDescent="0.3">
      <c r="B48" s="90"/>
      <c r="C48" s="52"/>
      <c r="F48" s="89"/>
      <c r="G48" s="89"/>
      <c r="H48" s="89"/>
      <c r="I48" s="89"/>
      <c r="J48" s="89"/>
      <c r="K48" s="89"/>
      <c r="M48" s="53"/>
      <c r="N48" s="53"/>
      <c r="O48" s="53"/>
      <c r="P48" s="53"/>
      <c r="T48" s="55"/>
      <c r="U48" s="53"/>
      <c r="V48" s="53"/>
      <c r="W48" s="53"/>
      <c r="X48" s="53"/>
      <c r="Y48" s="53"/>
      <c r="Z48" s="53"/>
    </row>
    <row r="49" spans="2:26" x14ac:dyDescent="0.3">
      <c r="B49" s="90"/>
      <c r="C49" s="52"/>
      <c r="F49" s="48"/>
      <c r="G49" s="48"/>
      <c r="H49" s="48"/>
      <c r="I49" s="48"/>
      <c r="J49" s="48"/>
      <c r="K49" s="48"/>
      <c r="M49" s="53"/>
      <c r="N49" s="53"/>
      <c r="O49" s="53"/>
      <c r="P49" s="53"/>
      <c r="T49" s="55"/>
      <c r="U49" s="53"/>
      <c r="V49" s="53"/>
      <c r="W49" s="53"/>
      <c r="X49" s="53"/>
      <c r="Y49" s="53"/>
      <c r="Z49" s="53"/>
    </row>
    <row r="50" spans="2:26" x14ac:dyDescent="0.3">
      <c r="B50" s="90"/>
      <c r="C50" s="52"/>
      <c r="F50" s="87"/>
      <c r="G50" s="53"/>
      <c r="H50" s="53"/>
      <c r="I50" s="185"/>
      <c r="J50" s="185"/>
      <c r="K50" s="185"/>
      <c r="M50" s="53"/>
      <c r="N50" s="53"/>
      <c r="O50" s="53"/>
      <c r="P50" s="53"/>
      <c r="T50" s="55"/>
      <c r="U50" s="53"/>
      <c r="V50" s="53"/>
      <c r="W50" s="53"/>
      <c r="X50" s="53"/>
      <c r="Y50" s="53"/>
      <c r="Z50" s="53"/>
    </row>
    <row r="51" spans="2:26" x14ac:dyDescent="0.3">
      <c r="B51" s="90"/>
      <c r="C51" s="52"/>
      <c r="F51" s="89"/>
      <c r="G51" s="89"/>
      <c r="H51" s="53"/>
      <c r="I51" s="185"/>
      <c r="J51" s="185"/>
      <c r="K51" s="185"/>
      <c r="M51" s="53"/>
      <c r="N51" s="53"/>
      <c r="O51" s="53"/>
      <c r="P51" s="53"/>
      <c r="T51" s="55"/>
      <c r="U51" s="53"/>
      <c r="V51" s="53"/>
      <c r="W51" s="53"/>
      <c r="X51" s="53"/>
      <c r="Y51" s="53"/>
      <c r="Z51" s="53"/>
    </row>
    <row r="52" spans="2:26" x14ac:dyDescent="0.3">
      <c r="B52" s="90"/>
      <c r="C52" s="52"/>
      <c r="F52" s="3"/>
      <c r="G52" s="48"/>
      <c r="H52" s="53"/>
      <c r="I52" s="185"/>
      <c r="J52" s="185"/>
      <c r="K52" s="185"/>
      <c r="M52" s="53"/>
      <c r="N52" s="53"/>
      <c r="O52" s="53"/>
      <c r="P52" s="53"/>
      <c r="T52" s="55"/>
      <c r="U52" s="53"/>
      <c r="V52" s="53"/>
      <c r="W52" s="53"/>
      <c r="X52" s="53"/>
      <c r="Y52" s="53"/>
      <c r="Z52" s="53"/>
    </row>
    <row r="53" spans="2:26" x14ac:dyDescent="0.3">
      <c r="B53" s="14"/>
      <c r="C53" s="52"/>
      <c r="F53" s="53"/>
      <c r="G53" s="53"/>
      <c r="H53" s="53"/>
      <c r="I53" s="185"/>
      <c r="J53" s="185"/>
      <c r="K53" s="185"/>
      <c r="M53" s="53"/>
      <c r="N53" s="53"/>
      <c r="O53" s="53"/>
      <c r="P53" s="53"/>
      <c r="W53" s="53"/>
      <c r="X53" s="53"/>
      <c r="Y53" s="53"/>
      <c r="Z53" s="53"/>
    </row>
    <row r="54" spans="2:26" x14ac:dyDescent="0.3">
      <c r="B54" s="90"/>
      <c r="C54" s="52"/>
      <c r="F54" s="89"/>
      <c r="G54" s="89"/>
      <c r="H54" s="89"/>
      <c r="I54" s="89"/>
      <c r="J54" s="89"/>
      <c r="K54" s="89"/>
      <c r="M54" s="53"/>
      <c r="N54" s="53"/>
      <c r="O54" s="53"/>
      <c r="P54" s="53"/>
      <c r="T54" s="53"/>
      <c r="U54" s="53"/>
      <c r="W54" s="53"/>
      <c r="X54" s="53"/>
      <c r="Y54" s="53"/>
      <c r="Z54" s="53"/>
    </row>
    <row r="55" spans="2:26" x14ac:dyDescent="0.3">
      <c r="B55" s="90"/>
      <c r="C55" s="52"/>
      <c r="F55" s="48"/>
      <c r="G55" s="53"/>
      <c r="H55" s="53"/>
      <c r="I55" s="185"/>
      <c r="J55" s="185"/>
      <c r="K55" s="185"/>
      <c r="M55" s="53"/>
      <c r="N55" s="53"/>
      <c r="O55" s="53"/>
      <c r="P55" s="53"/>
      <c r="T55" s="22"/>
      <c r="U55" s="53"/>
      <c r="W55" s="53"/>
      <c r="X55" s="53"/>
      <c r="Y55" s="53"/>
      <c r="Z55" s="53"/>
    </row>
    <row r="56" spans="2:26" x14ac:dyDescent="0.3">
      <c r="B56" s="90"/>
      <c r="C56" s="52"/>
      <c r="F56" s="53"/>
      <c r="G56" s="53"/>
      <c r="H56" s="53"/>
      <c r="I56" s="185"/>
      <c r="J56" s="185"/>
      <c r="K56" s="185"/>
      <c r="M56" s="53"/>
      <c r="N56" s="53"/>
      <c r="O56" s="53"/>
      <c r="P56" s="53"/>
      <c r="T56" s="22"/>
      <c r="U56" s="53"/>
      <c r="W56" s="53"/>
      <c r="X56" s="53"/>
      <c r="Y56" s="53"/>
      <c r="Z56" s="53"/>
    </row>
    <row r="57" spans="2:26" x14ac:dyDescent="0.3">
      <c r="B57" s="90"/>
      <c r="C57" s="52"/>
      <c r="F57" s="89"/>
      <c r="G57" s="89"/>
      <c r="H57" s="89"/>
      <c r="I57" s="89"/>
      <c r="J57" s="89"/>
      <c r="K57" s="89"/>
      <c r="M57" s="53"/>
      <c r="N57" s="53"/>
      <c r="O57" s="53"/>
      <c r="P57" s="53"/>
      <c r="T57" s="22"/>
      <c r="U57" s="53"/>
      <c r="W57" s="53"/>
      <c r="X57" s="53"/>
      <c r="Y57" s="53"/>
      <c r="Z57" s="53"/>
    </row>
    <row r="58" spans="2:26" x14ac:dyDescent="0.3">
      <c r="B58" s="90"/>
      <c r="C58" s="52"/>
      <c r="F58" s="97"/>
      <c r="G58" s="53"/>
      <c r="H58" s="53"/>
      <c r="I58" s="185"/>
      <c r="J58" s="185"/>
      <c r="K58" s="185"/>
      <c r="M58" s="53"/>
      <c r="N58" s="53"/>
      <c r="O58" s="53"/>
      <c r="P58" s="53"/>
      <c r="T58" s="22"/>
      <c r="U58" s="53"/>
      <c r="W58" s="53"/>
      <c r="X58" s="53"/>
      <c r="Y58" s="53"/>
      <c r="Z58" s="53"/>
    </row>
    <row r="59" spans="2:26" x14ac:dyDescent="0.3">
      <c r="B59" s="90"/>
      <c r="C59" s="52"/>
      <c r="F59" s="97"/>
      <c r="G59" s="53"/>
      <c r="H59" s="53"/>
      <c r="I59" s="185"/>
      <c r="J59" s="185"/>
      <c r="K59" s="185"/>
      <c r="M59" s="53"/>
      <c r="N59" s="53"/>
      <c r="O59" s="53"/>
      <c r="P59" s="53"/>
      <c r="T59" s="22"/>
      <c r="U59" s="53"/>
      <c r="W59" s="53"/>
      <c r="X59" s="53"/>
      <c r="Y59" s="53"/>
      <c r="Z59" s="53"/>
    </row>
    <row r="60" spans="2:26" x14ac:dyDescent="0.3">
      <c r="B60" s="90"/>
      <c r="C60" s="52"/>
      <c r="F60" s="53"/>
      <c r="G60" s="53"/>
      <c r="H60" s="53"/>
      <c r="I60" s="185"/>
      <c r="J60" s="185"/>
      <c r="K60" s="185"/>
      <c r="M60" s="53"/>
      <c r="N60" s="53"/>
      <c r="O60" s="53"/>
      <c r="P60" s="53"/>
      <c r="T60" s="22"/>
      <c r="U60" s="53"/>
      <c r="W60" s="53"/>
      <c r="X60" s="53"/>
      <c r="Y60" s="53"/>
      <c r="Z60" s="53"/>
    </row>
    <row r="61" spans="2:26" ht="17.25" thickBot="1" x14ac:dyDescent="0.35">
      <c r="B61" s="90"/>
      <c r="C61" s="52"/>
      <c r="F61" s="89"/>
      <c r="G61" s="89"/>
      <c r="H61" s="89"/>
      <c r="I61" s="89"/>
      <c r="J61" s="89"/>
      <c r="K61" s="89"/>
      <c r="M61" s="53"/>
      <c r="N61" s="53"/>
      <c r="O61" s="53"/>
      <c r="P61" s="53"/>
    </row>
    <row r="62" spans="2:26" ht="17.25" thickBot="1" x14ac:dyDescent="0.35">
      <c r="B62" s="90"/>
      <c r="C62" s="52"/>
      <c r="F62" s="98"/>
      <c r="G62" s="53"/>
      <c r="H62" s="53"/>
      <c r="I62" s="185"/>
      <c r="J62" s="185"/>
      <c r="K62" s="185"/>
      <c r="M62" s="53"/>
      <c r="N62" s="53"/>
      <c r="O62" s="53"/>
      <c r="P62" s="53"/>
    </row>
    <row r="63" spans="2:26" x14ac:dyDescent="0.3">
      <c r="B63" s="90"/>
      <c r="C63" s="52"/>
      <c r="F63" s="53"/>
      <c r="G63" s="53"/>
      <c r="H63" s="53"/>
      <c r="I63" s="185"/>
      <c r="J63" s="185"/>
      <c r="K63" s="185"/>
      <c r="M63" s="53"/>
      <c r="N63" s="53"/>
      <c r="O63" s="53"/>
      <c r="P63" s="53"/>
    </row>
    <row r="64" spans="2:26" x14ac:dyDescent="0.3">
      <c r="B64" s="52"/>
      <c r="C64" s="52"/>
      <c r="F64" s="53"/>
      <c r="G64" s="53"/>
      <c r="H64" s="53"/>
      <c r="I64" s="185"/>
      <c r="J64" s="185"/>
      <c r="K64" s="185"/>
      <c r="M64" s="53"/>
      <c r="N64" s="53"/>
      <c r="O64" s="53"/>
      <c r="P64" s="53"/>
    </row>
    <row r="65" spans="1:26" x14ac:dyDescent="0.3">
      <c r="B65" s="52"/>
      <c r="C65" s="52"/>
      <c r="F65" s="53"/>
      <c r="G65" s="53"/>
      <c r="H65" s="53"/>
      <c r="I65" s="185"/>
      <c r="J65" s="185"/>
      <c r="K65" s="185"/>
      <c r="M65" s="53"/>
      <c r="N65" s="53"/>
      <c r="O65" s="53"/>
      <c r="P65" s="53"/>
    </row>
    <row r="66" spans="1:26" s="53" customFormat="1" ht="17.25" customHeight="1" x14ac:dyDescent="0.3">
      <c r="A66" s="52"/>
      <c r="B66" s="52"/>
      <c r="C66" s="52"/>
      <c r="D66" s="52"/>
      <c r="I66" s="185"/>
      <c r="J66" s="185"/>
      <c r="K66" s="185"/>
      <c r="Q66" s="52"/>
      <c r="R66" s="52"/>
      <c r="S66" s="52"/>
      <c r="T66" s="52"/>
      <c r="U66" s="52"/>
      <c r="V66" s="52"/>
      <c r="W66" s="52"/>
      <c r="X66" s="52"/>
      <c r="Y66" s="52"/>
      <c r="Z66" s="52"/>
    </row>
    <row r="67" spans="1:26" s="53" customFormat="1" x14ac:dyDescent="0.3">
      <c r="A67" s="52"/>
      <c r="B67" s="10"/>
      <c r="C67" s="20"/>
      <c r="D67" s="58"/>
      <c r="F67" s="52"/>
      <c r="G67" s="52"/>
      <c r="H67" s="52"/>
      <c r="I67" s="271"/>
      <c r="J67" s="271"/>
      <c r="K67" s="271"/>
      <c r="M67" s="52"/>
      <c r="N67" s="52"/>
      <c r="O67" s="52"/>
      <c r="P67" s="52"/>
      <c r="Q67" s="52"/>
      <c r="R67" s="52"/>
      <c r="S67" s="52"/>
      <c r="T67" s="52"/>
      <c r="U67" s="52"/>
      <c r="V67" s="52"/>
      <c r="W67" s="52"/>
      <c r="X67" s="52"/>
      <c r="Y67" s="52"/>
      <c r="Z67" s="52"/>
    </row>
  </sheetData>
  <mergeCells count="11">
    <mergeCell ref="N2:P2"/>
    <mergeCell ref="N3:P3"/>
    <mergeCell ref="N4:P4"/>
    <mergeCell ref="B11:P13"/>
    <mergeCell ref="C16:P16"/>
    <mergeCell ref="N5:P5"/>
    <mergeCell ref="C32:D33"/>
    <mergeCell ref="F32:H32"/>
    <mergeCell ref="C23:D30"/>
    <mergeCell ref="F23:K23"/>
    <mergeCell ref="C19:D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881213a598c43e19c46d2040c5fc651 xmlns="BC0DD000-4356-4AC3-A9E5-54B29EBF12B2">
      <Terms xmlns="http://schemas.microsoft.com/office/infopath/2007/PartnerControls"/>
    </n881213a598c43e19c46d2040c5fc651>
    <pc8457cba08d42be841822dbe092508a xmlns="BC0DD000-4356-4AC3-A9E5-54B29EBF12B2">
      <Terms xmlns="http://schemas.microsoft.com/office/infopath/2007/PartnerControls">
        <TermInfo xmlns="http://schemas.microsoft.com/office/infopath/2007/PartnerControls">
          <TermName xmlns="http://schemas.microsoft.com/office/infopath/2007/PartnerControls">A. Admin ＆ Planning</TermName>
          <TermId xmlns="http://schemas.microsoft.com/office/infopath/2007/PartnerControls">b1f780b9-1325-41ee-b0f8-f9c50aa7f53e</TermId>
        </TermInfo>
      </Terms>
    </pc8457cba08d42be841822dbe092508a>
    <Key_x0020_doc_x003f_ xmlns="BC0DD000-4356-4AC3-A9E5-54B29EBF12B2">false</Key_x0020_doc_x003f_>
    <Archive_x003f_ xmlns="BC0DD000-4356-4AC3-A9E5-54B29EBF12B2">false</Archive_x003f_>
    <TaxCatchAll xmlns="176e9d42-f00c-4951-a3f2-ca011614ad33">
      <Value>40</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EFD4BF6D81CD449C6DE2C74CFBC85E" ma:contentTypeVersion="" ma:contentTypeDescription="Create a new document." ma:contentTypeScope="" ma:versionID="0b8b430d5f64b36248f15efb25c81f8b">
  <xsd:schema xmlns:xsd="http://www.w3.org/2001/XMLSchema" xmlns:xs="http://www.w3.org/2001/XMLSchema" xmlns:p="http://schemas.microsoft.com/office/2006/metadata/properties" xmlns:ns2="BC0DD000-4356-4AC3-A9E5-54B29EBF12B2" xmlns:ns3="176e9d42-f00c-4951-a3f2-ca011614ad33" targetNamespace="http://schemas.microsoft.com/office/2006/metadata/properties" ma:root="true" ma:fieldsID="bf94428875f62e0fb66a698f11d94c2b" ns2:_="" ns3:_="">
    <xsd:import namespace="BC0DD000-4356-4AC3-A9E5-54B29EBF12B2"/>
    <xsd:import namespace="176e9d42-f00c-4951-a3f2-ca011614ad33"/>
    <xsd:element name="properties">
      <xsd:complexType>
        <xsd:sequence>
          <xsd:element name="documentManagement">
            <xsd:complexType>
              <xsd:all>
                <xsd:element ref="ns2:pc8457cba08d42be841822dbe092508a" minOccurs="0"/>
                <xsd:element ref="ns3:TaxCatchAll" minOccurs="0"/>
                <xsd:element ref="ns2:n881213a598c43e19c46d2040c5fc651" minOccurs="0"/>
                <xsd:element ref="ns2:Archive_x003f_" minOccurs="0"/>
                <xsd:element ref="ns2:Key_x0020_do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D000-4356-4AC3-A9E5-54B29EBF12B2" elementFormDefault="qualified">
    <xsd:import namespace="http://schemas.microsoft.com/office/2006/documentManagement/types"/>
    <xsd:import namespace="http://schemas.microsoft.com/office/infopath/2007/PartnerControls"/>
    <xsd:element name="pc8457cba08d42be841822dbe092508a" ma:index="9" nillable="true" ma:taxonomy="true" ma:internalName="pc8457cba08d42be841822dbe092508a" ma:taxonomyFieldName="Project_x0020_doc_x0020_type" ma:displayName="Doc type - level 1" ma:indexed="true" ma:default="54;#A. Admin ＆ Planning|b1f780b9-1325-41ee-b0f8-f9c50aa7f53e" ma:fieldId="{9c8457cb-a08d-42be-8418-22dbe092508a}" ma:sspId="fedc91e1-0723-4b19-918f-d2290fbc9877" ma:termSetId="3bda15ed-e623-4b4d-b65f-38bb1b335511" ma:anchorId="cc91d83d-1e1c-4c13-b867-348b43ba510f" ma:open="true" ma:isKeyword="false">
      <xsd:complexType>
        <xsd:sequence>
          <xsd:element ref="pc:Terms" minOccurs="0" maxOccurs="1"/>
        </xsd:sequence>
      </xsd:complexType>
    </xsd:element>
    <xsd:element name="n881213a598c43e19c46d2040c5fc651" ma:index="12" nillable="true" ma:taxonomy="true" ma:internalName="n881213a598c43e19c46d2040c5fc651" ma:taxonomyFieldName="Doc_x0020_type_x0020__x002d__x0020_level_x0020_2" ma:displayName="Doc type - level 2" ma:indexed="true" ma:default="" ma:fieldId="{7881213a-598c-43e1-9c46-d2040c5fc651}" ma:sspId="fedc91e1-0723-4b19-918f-d2290fbc9877" ma:termSetId="3bda15ed-e623-4b4d-b65f-38bb1b335511" ma:anchorId="cc91d83d-1e1c-4c13-b867-348b43ba510f" ma:open="true" ma:isKeyword="false">
      <xsd:complexType>
        <xsd:sequence>
          <xsd:element ref="pc:Terms" minOccurs="0" maxOccurs="1"/>
        </xsd:sequence>
      </xsd:complexType>
    </xsd:element>
    <xsd:element name="Archive_x003f_" ma:index="13" nillable="true" ma:displayName="Archive?" ma:default="0" ma:internalName="Archive_x003f_">
      <xsd:simpleType>
        <xsd:restriction base="dms:Boolean"/>
      </xsd:simpleType>
    </xsd:element>
    <xsd:element name="Key_x0020_doc_x003f_" ma:index="14" nillable="true" ma:displayName="Key doc?" ma:default="0" ma:internalName="Key_x0020_do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76e9d42-f00c-4951-a3f2-ca011614ad3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6F0B95-091A-4B71-8BBD-B43D6A9D6D59}" ma:internalName="TaxCatchAll" ma:showField="CatchAllData" ma:web="{4f65827b-718a-4314-886e-98c449eac4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508CD-5420-4F30-9EBE-7A1D6043928A}">
  <ds:schemaRefs>
    <ds:schemaRef ds:uri="http://schemas.microsoft.com/sharepoint/v3/contenttype/forms"/>
  </ds:schemaRefs>
</ds:datastoreItem>
</file>

<file path=customXml/itemProps2.xml><?xml version="1.0" encoding="utf-8"?>
<ds:datastoreItem xmlns:ds="http://schemas.openxmlformats.org/officeDocument/2006/customXml" ds:itemID="{C917D6B9-C6B7-451C-8E5F-AD76C6C08860}">
  <ds:schemaRefs>
    <ds:schemaRef ds:uri="http://purl.org/dc/elements/1.1/"/>
    <ds:schemaRef ds:uri="http://www.w3.org/XML/1998/namespace"/>
    <ds:schemaRef ds:uri="http://schemas.microsoft.com/office/2006/documentManagement/types"/>
    <ds:schemaRef ds:uri="BC0DD000-4356-4AC3-A9E5-54B29EBF12B2"/>
    <ds:schemaRef ds:uri="http://purl.org/dc/terms/"/>
    <ds:schemaRef ds:uri="176e9d42-f00c-4951-a3f2-ca011614ad33"/>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ECACAB70-801A-4A96-AC42-2B27A2953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D000-4356-4AC3-A9E5-54B29EBF12B2"/>
    <ds:schemaRef ds:uri="176e9d42-f00c-4951-a3f2-ca011614a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Overview</vt:lpstr>
      <vt:lpstr>A1 - Productivity</vt:lpstr>
      <vt:lpstr>A2 - Recruitment</vt:lpstr>
      <vt:lpstr>A3 - Retention</vt:lpstr>
      <vt:lpstr>A4 - Absenteeism</vt:lpstr>
      <vt:lpstr>B1 - Management Burden</vt:lpstr>
      <vt:lpstr>B2 - Marginal Onboarding Burden</vt:lpstr>
      <vt:lpstr>B3 - Flex implementation</vt:lpstr>
      <vt:lpstr>B4 - IT expense</vt:lpstr>
      <vt:lpstr>B5 - Office Rental Expense</vt:lpstr>
      <vt:lpstr>B6 - Backfill</vt:lpstr>
      <vt:lpstr>Extra Analysis - Diversity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Shen</dc:creator>
  <cp:lastModifiedBy>Milly Bell</cp:lastModifiedBy>
  <dcterms:created xsi:type="dcterms:W3CDTF">2017-08-01T07:01:40Z</dcterms:created>
  <dcterms:modified xsi:type="dcterms:W3CDTF">2018-03-13T04:01:25Z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0x0101004AEFD4BF6D81CD449C6DE2C74CFBC85E</vt:lpwstr>
  </property>
  <property fmtid="{D5CDD505-2E9C-101B-9397-08002B2CF9AE}" pid="3" name="Doc type - level 2">
    <vt:lpwstr/>
  </property>
  <property fmtid="{D5CDD505-2E9C-101B-9397-08002B2CF9AE}" pid="4" name="Project doc type">
    <vt:lpwstr>40;#A. Admin ＆ Planning|b1f780b9-1325-41ee-b0f8-f9c50aa7f53e</vt:lpwstr>
  </property>
</Properties>
</file>