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trlProps/ctrlProp1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ernal.vic.gov.au\DPC\HomeDirs1\vicxxz7\Desktop\New folder (9)\"/>
    </mc:Choice>
  </mc:AlternateContent>
  <xr:revisionPtr revIDLastSave="0" documentId="13_ncr:1_{B0E5C330-8CC7-4845-AF24-8B47C0402F5D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CALCULATOR" sheetId="1" r:id="rId1"/>
    <sheet name="VEHICLE CLASSES" sheetId="29" state="hidden" r:id="rId2"/>
    <sheet name="ASSUMPTIONS" sheetId="9" r:id="rId3"/>
    <sheet name="MICRO CARS" sheetId="14" state="hidden" r:id="rId4"/>
    <sheet name="LIGHT CARS" sheetId="10" state="hidden" r:id="rId5"/>
    <sheet name="SMALL CARS" sheetId="15" state="hidden" r:id="rId6"/>
    <sheet name="MEDIUM CARS" sheetId="16" state="hidden" r:id="rId7"/>
    <sheet name="LARGE CARS" sheetId="17" state="hidden" r:id="rId8"/>
    <sheet name="SPORTS" sheetId="18" state="hidden" r:id="rId9"/>
    <sheet name="PEOPLE MOVERS" sheetId="19" state="hidden" r:id="rId10"/>
    <sheet name="SUV - SMALL" sheetId="20" state="hidden" r:id="rId11"/>
    <sheet name="SUV - MEDIUM" sheetId="21" state="hidden" r:id="rId12"/>
    <sheet name="SUV - LARGE" sheetId="22" state="hidden" r:id="rId13"/>
    <sheet name="SUV - ALL TERRAIN" sheetId="23" state="hidden" r:id="rId14"/>
    <sheet name="2WD UTES" sheetId="24" state="hidden" r:id="rId15"/>
    <sheet name="4WD UTES" sheetId="25" state="hidden" r:id="rId16"/>
    <sheet name="ELECTRIC CARS" sheetId="26" state="hidden" r:id="rId17"/>
  </sheets>
  <definedNames>
    <definedName name="_xlnm.Print_Area" localSheetId="0">CALCULATOR!$A$1:$F$56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5" i="1"/>
  <c r="D20" i="1" l="1"/>
  <c r="D17" i="1" l="1"/>
  <c r="G82" i="1"/>
  <c r="C82" i="1"/>
  <c r="I4" i="25"/>
  <c r="H4" i="25"/>
  <c r="G4" i="25"/>
  <c r="F4" i="25"/>
  <c r="E4" i="25"/>
  <c r="D4" i="25"/>
  <c r="C4" i="25"/>
  <c r="B4" i="25"/>
  <c r="G81" i="1"/>
  <c r="C81" i="1"/>
  <c r="E4" i="24"/>
  <c r="D4" i="24"/>
  <c r="C4" i="24"/>
  <c r="B4" i="24"/>
  <c r="G80" i="1"/>
  <c r="C80" i="1"/>
  <c r="N4" i="23"/>
  <c r="M4" i="23"/>
  <c r="L4" i="23"/>
  <c r="K4" i="23"/>
  <c r="J4" i="23"/>
  <c r="I4" i="23"/>
  <c r="H4" i="23"/>
  <c r="G4" i="23"/>
  <c r="F4" i="23"/>
  <c r="E4" i="23"/>
  <c r="D4" i="23"/>
  <c r="C4" i="23"/>
  <c r="B4" i="23"/>
  <c r="G79" i="1"/>
  <c r="C79" i="1"/>
  <c r="J4" i="22"/>
  <c r="I4" i="22"/>
  <c r="H4" i="22"/>
  <c r="G4" i="22"/>
  <c r="F4" i="22"/>
  <c r="E4" i="22"/>
  <c r="D4" i="22"/>
  <c r="C4" i="22"/>
  <c r="B4" i="22"/>
  <c r="G78" i="1"/>
  <c r="C78" i="1"/>
  <c r="T4" i="21"/>
  <c r="S4" i="21"/>
  <c r="R4" i="21"/>
  <c r="Q4" i="21"/>
  <c r="P4" i="21"/>
  <c r="O4" i="21"/>
  <c r="N4" i="21"/>
  <c r="M4" i="21"/>
  <c r="L4" i="21"/>
  <c r="K4" i="21"/>
  <c r="J4" i="21"/>
  <c r="I4" i="21"/>
  <c r="H4" i="21"/>
  <c r="G4" i="21"/>
  <c r="F4" i="21"/>
  <c r="E4" i="21"/>
  <c r="D4" i="21"/>
  <c r="C4" i="21"/>
  <c r="B4" i="21"/>
  <c r="G77" i="1"/>
  <c r="C77" i="1"/>
  <c r="N4" i="20"/>
  <c r="M4" i="20"/>
  <c r="L4" i="20"/>
  <c r="K4" i="20"/>
  <c r="J4" i="20"/>
  <c r="I4" i="20"/>
  <c r="H4" i="20"/>
  <c r="G4" i="20"/>
  <c r="F4" i="20"/>
  <c r="E4" i="20"/>
  <c r="D4" i="20"/>
  <c r="C4" i="20"/>
  <c r="B4" i="20"/>
  <c r="F3" i="26"/>
  <c r="G53" i="1" s="1"/>
  <c r="B53" i="1" s="1"/>
  <c r="B4" i="26"/>
  <c r="C4" i="26"/>
  <c r="D4" i="26"/>
  <c r="E4" i="26"/>
  <c r="B5" i="26"/>
  <c r="J3" i="25"/>
  <c r="G52" i="1" s="1"/>
  <c r="B52" i="1" s="1"/>
  <c r="F3" i="24"/>
  <c r="O3" i="23"/>
  <c r="G50" i="1" s="1"/>
  <c r="B50" i="1" s="1"/>
  <c r="K3" i="22"/>
  <c r="G49" i="1" s="1"/>
  <c r="B49" i="1" s="1"/>
  <c r="U3" i="21"/>
  <c r="G48" i="1" s="1"/>
  <c r="B48" i="1" s="1"/>
  <c r="O3" i="20"/>
  <c r="F3" i="19"/>
  <c r="B4" i="19"/>
  <c r="C4" i="19"/>
  <c r="D4" i="19"/>
  <c r="E4" i="19"/>
  <c r="I3" i="18"/>
  <c r="G45" i="1" s="1"/>
  <c r="B45" i="1" s="1"/>
  <c r="B4" i="18"/>
  <c r="C4" i="18"/>
  <c r="D4" i="18"/>
  <c r="E4" i="18"/>
  <c r="F4" i="18"/>
  <c r="G4" i="18"/>
  <c r="H4" i="18"/>
  <c r="H3" i="17"/>
  <c r="G44" i="1" s="1"/>
  <c r="B44" i="1" s="1"/>
  <c r="B4" i="17"/>
  <c r="C4" i="17"/>
  <c r="D4" i="17"/>
  <c r="E4" i="17"/>
  <c r="F4" i="17"/>
  <c r="G4" i="17"/>
  <c r="P3" i="16"/>
  <c r="G43" i="1" s="1"/>
  <c r="B43" i="1" s="1"/>
  <c r="B4" i="16"/>
  <c r="C4" i="16"/>
  <c r="D4" i="16"/>
  <c r="E4" i="16"/>
  <c r="F4" i="16"/>
  <c r="G4" i="16"/>
  <c r="H4" i="16"/>
  <c r="I4" i="16"/>
  <c r="J4" i="16"/>
  <c r="K4" i="16"/>
  <c r="L4" i="16"/>
  <c r="M4" i="16"/>
  <c r="N4" i="16"/>
  <c r="O4" i="16"/>
  <c r="S3" i="15"/>
  <c r="G42" i="1" s="1"/>
  <c r="B42" i="1" s="1"/>
  <c r="C4" i="15"/>
  <c r="D4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B5" i="15"/>
  <c r="N3" i="10"/>
  <c r="G41" i="1" s="1"/>
  <c r="B41" i="1" s="1"/>
  <c r="B4" i="10"/>
  <c r="C4" i="10"/>
  <c r="D4" i="10"/>
  <c r="E4" i="10"/>
  <c r="F4" i="10"/>
  <c r="G4" i="10"/>
  <c r="H4" i="10"/>
  <c r="I4" i="10"/>
  <c r="J4" i="10"/>
  <c r="K4" i="10"/>
  <c r="L4" i="10"/>
  <c r="M4" i="10"/>
  <c r="G3" i="14"/>
  <c r="G40" i="1"/>
  <c r="B40" i="1"/>
  <c r="B4" i="14"/>
  <c r="C4" i="14"/>
  <c r="D4" i="14"/>
  <c r="E4" i="14"/>
  <c r="F4" i="14"/>
  <c r="C3" i="9"/>
  <c r="C4" i="9"/>
  <c r="C5" i="9"/>
  <c r="D23" i="1" s="1"/>
  <c r="D13" i="1"/>
  <c r="G46" i="1"/>
  <c r="B46" i="1"/>
  <c r="G47" i="1"/>
  <c r="B47" i="1" s="1"/>
  <c r="G51" i="1"/>
  <c r="B51" i="1" s="1"/>
  <c r="C55" i="1"/>
  <c r="G55" i="1"/>
  <c r="C56" i="1"/>
  <c r="G56" i="1"/>
  <c r="C57" i="1"/>
  <c r="G57" i="1"/>
  <c r="C58" i="1"/>
  <c r="G58" i="1"/>
  <c r="C59" i="1"/>
  <c r="G59" i="1"/>
  <c r="C60" i="1"/>
  <c r="G60" i="1"/>
  <c r="C61" i="1"/>
  <c r="G61" i="1"/>
  <c r="C62" i="1"/>
  <c r="G62" i="1"/>
  <c r="C63" i="1"/>
  <c r="G63" i="1"/>
  <c r="C64" i="1"/>
  <c r="G64" i="1"/>
  <c r="C65" i="1"/>
  <c r="G65" i="1"/>
  <c r="C66" i="1"/>
  <c r="G66" i="1"/>
  <c r="C67" i="1"/>
  <c r="G67" i="1"/>
  <c r="C68" i="1"/>
  <c r="G68" i="1"/>
  <c r="C70" i="1"/>
  <c r="G70" i="1"/>
  <c r="C71" i="1"/>
  <c r="D18" i="1" s="1"/>
  <c r="D25" i="1" s="1"/>
  <c r="G71" i="1"/>
  <c r="C72" i="1"/>
  <c r="G72" i="1"/>
  <c r="C73" i="1"/>
  <c r="G73" i="1"/>
  <c r="C74" i="1"/>
  <c r="G74" i="1"/>
  <c r="C75" i="1"/>
  <c r="G75" i="1"/>
  <c r="C76" i="1"/>
  <c r="G76" i="1"/>
  <c r="C83" i="1"/>
  <c r="G83" i="1"/>
  <c r="D28" i="1" l="1"/>
  <c r="D26" i="1"/>
  <c r="D29" i="1" s="1"/>
  <c r="D30" i="1" l="1"/>
  <c r="D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Judde (DPC)</author>
  </authors>
  <commentList>
    <comment ref="A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Chris Judde (DPC):</t>
        </r>
        <r>
          <rPr>
            <sz val="9"/>
            <color indexed="81"/>
            <rFont val="Tahoma"/>
            <family val="2"/>
          </rPr>
          <t xml:space="preserve">
Total, as per RACV</t>
        </r>
      </text>
    </comment>
    <comment ref="A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Chris Judde (DPC):</t>
        </r>
        <r>
          <rPr>
            <sz val="9"/>
            <color indexed="81"/>
            <rFont val="Tahoma"/>
            <family val="2"/>
          </rPr>
          <t xml:space="preserve">
On roads, stamp duty, rego &amp; insurance, as per RACV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Judde (DPC)</author>
  </authors>
  <commentList>
    <comment ref="B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Chris Judde (DPC):</t>
        </r>
        <r>
          <rPr>
            <sz val="9"/>
            <color indexed="81"/>
            <rFont val="Tahoma"/>
            <family val="2"/>
          </rPr>
          <t xml:space="preserve">
Excluded from the regression as this appears to be an outlier</t>
        </r>
      </text>
    </comment>
  </commentList>
</comments>
</file>

<file path=xl/sharedStrings.xml><?xml version="1.0" encoding="utf-8"?>
<sst xmlns="http://schemas.openxmlformats.org/spreadsheetml/2006/main" count="1575" uniqueCount="260">
  <si>
    <t>Total</t>
  </si>
  <si>
    <t>Start date/effective date</t>
  </si>
  <si>
    <t>Executive vehicle - cost to package</t>
  </si>
  <si>
    <t>Executive name</t>
  </si>
  <si>
    <t>Registration number</t>
  </si>
  <si>
    <t>FBT rate</t>
  </si>
  <si>
    <t>Vehicle make/model</t>
  </si>
  <si>
    <t>Cost to executive's package</t>
  </si>
  <si>
    <t>Accessories</t>
  </si>
  <si>
    <t>Stamp duty</t>
  </si>
  <si>
    <t>Statutory rate</t>
  </si>
  <si>
    <t>Statutory distance rate:</t>
  </si>
  <si>
    <t>Employee cost:</t>
  </si>
  <si>
    <t>Employer cost:</t>
  </si>
  <si>
    <t>FBT rate:</t>
  </si>
  <si>
    <t>Gross-up rate:</t>
  </si>
  <si>
    <t>Residual</t>
  </si>
  <si>
    <t>https://www.ato.gov.au/rates/fbt/?page=3#Type_2__lower_gross_up_rate</t>
  </si>
  <si>
    <t>Running Cost (fuel, tyres, servicing and repairs)</t>
  </si>
  <si>
    <t>LIGHT</t>
  </si>
  <si>
    <t xml:space="preserve">SUZUKI BALENO GL
5D HATCHBACK
1.4L 4 SP AUTOMATIC
</t>
  </si>
  <si>
    <t xml:space="preserve">MAZDA 2 NEO
5D HATCHBACK
1.5L 6 SP AUTOMATIC
</t>
  </si>
  <si>
    <t xml:space="preserve">HONDA JAZZ VTi
5D HATCHBACK
1.5L CVT
</t>
  </si>
  <si>
    <t xml:space="preserve">FORD FIESTA AMBIENTE
5D HATCHBACK
1.5L 6 SP AUTOMATIC
</t>
  </si>
  <si>
    <t xml:space="preserve">KIA RIO S
5D HATCHBACK
1.4L 4 SP AUTOMATIC
</t>
  </si>
  <si>
    <t xml:space="preserve">TOYOTA YARIS ASCENT
5D HATCHBACK
1.3L 4 SP AUTOMATIC
</t>
  </si>
  <si>
    <t xml:space="preserve">HOLDEN BARINA LS
5D HATCHBACK
1.6L 6 SP AUTOMATIC
</t>
  </si>
  <si>
    <t>VOLKSWAGEN POLO 66TSI TRENDLINE
5D HATCHBACK
1.2L 7 SP AUTOMATIC</t>
  </si>
  <si>
    <t xml:space="preserve">TOYOTA PRIUS-C HYBRID
5D HATCHBACK
1.5L CVT
</t>
  </si>
  <si>
    <t>RENAULT CLIO EXPRESSION
5D HATCHBACK
1.2L TURBO 6 SP AUTOMATIC</t>
  </si>
  <si>
    <t>AUDI A1 SPORTBACK
5D HATCHBACK
1.0L 7 SP AUTOMATIC</t>
  </si>
  <si>
    <t>MINI COOPER F56
5D HATCHBACK
1.5L 6 SP AUTOMATIC</t>
  </si>
  <si>
    <t>Running costs (c/km)</t>
  </si>
  <si>
    <t>Standing costs ($/week)</t>
  </si>
  <si>
    <t>List price ($)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</si>
  <si>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</si>
  <si>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</si>
  <si>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</si>
  <si>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</si>
  <si>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</si>
  <si>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</si>
  <si>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</si>
  <si>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</si>
  <si>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</si>
  <si>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</si>
  <si>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</si>
  <si>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</si>
  <si>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</si>
  <si>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</si>
  <si>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</si>
  <si>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</si>
  <si>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</si>
  <si>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</si>
  <si>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</si>
  <si>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</si>
  <si>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</si>
  <si>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</si>
  <si>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X Variable 2</t>
  </si>
  <si>
    <t>X Variable 3</t>
  </si>
  <si>
    <t>X Variable 4</t>
  </si>
  <si>
    <t>X Variable 5</t>
  </si>
  <si>
    <t>X Variable 6</t>
  </si>
  <si>
    <t>X Variable 7</t>
  </si>
  <si>
    <t>X Variable 8</t>
  </si>
  <si>
    <t>X Variable 9</t>
  </si>
  <si>
    <t>X Variable 10</t>
  </si>
  <si>
    <t>X Variable 11</t>
  </si>
  <si>
    <t>X Variable 12</t>
  </si>
  <si>
    <t>REGRESSION - Standing costs vs List price</t>
  </si>
  <si>
    <t>Roadside care:</t>
  </si>
  <si>
    <t>Average</t>
  </si>
  <si>
    <t>Constant</t>
  </si>
  <si>
    <t>Coefficient</t>
  </si>
  <si>
    <t>MICRO</t>
  </si>
  <si>
    <t xml:space="preserve">SUZUKI CELERIO
5D HATCHBACK
1.0L 5 SP MANUAL
</t>
  </si>
  <si>
    <t>KIA PICANTO Si
5D HATCHBACK
1.2L 4 SP AUTOMATIC</t>
  </si>
  <si>
    <t xml:space="preserve">MITSUBISHI MIRAGE ES
5D HATCHBACK
1.2L 5 SP MANUAL
</t>
  </si>
  <si>
    <t xml:space="preserve">HOLDEN SPARK LS
5D HATCHBACK
1.4L 5 SP MANUAL
</t>
  </si>
  <si>
    <t xml:space="preserve">FIAT 500 POP
3D HATCHBACK
1.2L 5 SP MANUAL
</t>
  </si>
  <si>
    <t>SMALL</t>
  </si>
  <si>
    <t xml:space="preserve">KIA CERATO S
5D HATCHBACK
2.0L 6 SP AUTOMATIC
</t>
  </si>
  <si>
    <t xml:space="preserve">MITSUBISHI LANCER ES SPORT
4D SEDAN
2.0L CVT
</t>
  </si>
  <si>
    <t xml:space="preserve">HONDA CIVIC VTi
5D SEDAN
1.8L CVT
</t>
  </si>
  <si>
    <t xml:space="preserve">HYUNDAI i30 ACTIVE
5D HATCHBACK
1.8L 6 SP AUTOMATIC
</t>
  </si>
  <si>
    <t>HYUNDAI i30 ACTIVE 1.6 CRDi
5D HATCHBACK
1.6L DIESEL TURBO 7 SP AUTOMATIC</t>
  </si>
  <si>
    <t>MAZDA 3 NEO
5D HATCHBACK
2.0L 6 SP AUTOMATIC</t>
  </si>
  <si>
    <t>HOLDEN ASTRA R
5D HATCHBACK
1.4L 6 SP AUTOMATIC</t>
  </si>
  <si>
    <t xml:space="preserve">SUBARU IMPREZA 2.0i (AWD)
5D HATCHBACK
2.0L CVT
</t>
  </si>
  <si>
    <t xml:space="preserve">TOYOTA COROLLA ASCENT
5D HATCHBACK
1.8L CVT
</t>
  </si>
  <si>
    <t xml:space="preserve">HYUNDAI ELANTRA ACTIVE
4D SEDAN
2.0L 6 SP AUTOMATIC
</t>
  </si>
  <si>
    <t>FORD FOCUS TREND
5D HATCHBACK
1.5L TURBO 6 SP AUTOMATIC</t>
  </si>
  <si>
    <t xml:space="preserve">VOLKSWAGEN GOLF 92 TSI
5D HATCHBACK
1.4L TURBO 7 SP AUTOMATIC
</t>
  </si>
  <si>
    <t>TOYOTA PRIUS HYBRID
5D HATCHBACK
1.8L CVT</t>
  </si>
  <si>
    <t xml:space="preserve">BMW 118i SPORT LINE
5D HATCHBACK
1.5L TURBO 8 SP AUTOMATIC
</t>
  </si>
  <si>
    <t xml:space="preserve">AUDI A3 SPORTBACK 1.4 TFSI
5D HATCHBACK
1.4L TURBO 7 SP AUTOMATIC
</t>
  </si>
  <si>
    <t>MERCEDES BENZ A180
5D HATCHBACK
1.6L TURBO 7 SP AUTOMATIC</t>
  </si>
  <si>
    <t>VOLVO V40 T4 INSCRIPTION
5D HATCHBACK
2.0L TURBO 6 SP AUTOMATIC</t>
  </si>
  <si>
    <t>X Variable 13</t>
  </si>
  <si>
    <t>X Variable 14</t>
  </si>
  <si>
    <t>X Variable 15</t>
  </si>
  <si>
    <t>X Variable 16</t>
  </si>
  <si>
    <t>MEDIUM</t>
  </si>
  <si>
    <t xml:space="preserve">SKODA OCTAVIA 110TSI AMBITION
5D HATCHBACK
1.4L TURBO 7 SP AUTOMATIC
</t>
  </si>
  <si>
    <t xml:space="preserve">MAZDA 6 SPORT
4D SEDAN
2.5L 6 SP AUTOMATIC
</t>
  </si>
  <si>
    <t xml:space="preserve">TOYOTA CAMRY ATARA S
4D SEDAN
2.5L 6 SP AUTOMATIC
</t>
  </si>
  <si>
    <t xml:space="preserve">SUBARU LIBERTY 2.5i
4D SEDAN
2.5L CVT
</t>
  </si>
  <si>
    <t xml:space="preserve">TOYOTA CAMRY ATARA S HYBRID
4D SEDAN
2.5L CVT
</t>
  </si>
  <si>
    <t>HYUNDAI i40 ACTIVE
4D SEDAN
1.7L TURBO DIESEL 7 SP AUTOMATIC</t>
  </si>
  <si>
    <t>HYUNDAI SONATA ACTIVE
4D SEDAN
2.4L 6 SP AUTOMATIC</t>
  </si>
  <si>
    <t xml:space="preserve">FORD MONDEO AMBIENTE
5D HATCHBACK
2.0L TURBO 6 SP AUTOMATIC
</t>
  </si>
  <si>
    <t xml:space="preserve">KIA OPTIMA SI
4D SEDAN
2.4L 6 SP AUTOMATIC
</t>
  </si>
  <si>
    <t>FORD MONDEO AMBIENTE
5D HATCHBACK
2.0L TURBO DIESEL 6 SP AUTOMATIC</t>
  </si>
  <si>
    <t>VOLKSWAGEN PASSAT 132 TSI
4D SEDAN
1.8L TURBO 7 SP AUTOMATIC</t>
  </si>
  <si>
    <t xml:space="preserve">BMW 318i SPORT LINE
4D SEDAN
1.5L TURBO 8 SP AUTOMATIC
</t>
  </si>
  <si>
    <t>AUDI A4 1.4 TFSI
4D SEDAN
1.4L TURBO 7 SP AUTOMATIC</t>
  </si>
  <si>
    <t xml:space="preserve">MERCEDES-BENZ C200
4D SEDAN
2.0L TURBO 9 SP AUTOMATIC
</t>
  </si>
  <si>
    <t>LARGE</t>
  </si>
  <si>
    <t xml:space="preserve">HOLDEN COMMODORE EVOKE
4D SEDAN
3.0L 6 SP AUTOMATIC
</t>
  </si>
  <si>
    <t xml:space="preserve">TOYOTA AURION AT-X
4D SEDAN
3.5L 6 SP AUTOMATIC
</t>
  </si>
  <si>
    <t xml:space="preserve">SKODA SUPERB 162 TSI
4D SEDAN
2.0L TURBO 6 SP AUTOMATIC
</t>
  </si>
  <si>
    <t>HYUNDAI GENESIS
4D SEDAN
3.8L 8 SP AUTOMATIC</t>
  </si>
  <si>
    <t xml:space="preserve">AUDI A6 1.8 TFSI
4D SEDAN
1.8L TURBO 7 SP AUTOMATIC
</t>
  </si>
  <si>
    <t xml:space="preserve">BMW 520d LUXURY LINE
4D SEDAN
2.0L TURBO DIESEL 8 SP AUTOMATIC
</t>
  </si>
  <si>
    <t xml:space="preserve">SUBARU BRZ
2D COUPE
2.0L 6 SP AUTOMATIC
</t>
  </si>
  <si>
    <t>SPORTS</t>
  </si>
  <si>
    <t xml:space="preserve">TOYOTA 86 GT
2D COUPE
2.0L 6 SP AUTOMATIC
</t>
  </si>
  <si>
    <t xml:space="preserve">MAZDA MX-5
2D CONVERTIBLE
1.5L 6 SP AUTOMATIC
</t>
  </si>
  <si>
    <t>SUBARU WRX (AWD)
4D SEDAN
2.0L TURBO CVT</t>
  </si>
  <si>
    <t>BMW 220i SPORTLINE
2D CONVERTIBLE
2.0L TURBO 8 SP AUTOMATIC</t>
  </si>
  <si>
    <t>FORD MUSTANG FASTBACK
2D COUPE
2.3L TURBO 6 SP AUTOMATIC</t>
  </si>
  <si>
    <t xml:space="preserve">FORD MUSTANG FASTBACK
2D COUPE
5.0L 6 SP AUTOMATIC
</t>
  </si>
  <si>
    <t>PEOPLE MOVERS</t>
  </si>
  <si>
    <t xml:space="preserve">HONDA ODYSSEY VTi
4D WAGON
2.4L CVT
</t>
  </si>
  <si>
    <t>HYUNDAI iMAX
4D WAGON
2.4L 4 SP AUTOMATIC</t>
  </si>
  <si>
    <t xml:space="preserve">KIA CARNIVAL S
4D WAGON
3.3L 6 SP AUTOMATIC
</t>
  </si>
  <si>
    <t xml:space="preserve">TOYOTA TARAGO GLi
4D WAGON
2.4L CVT
</t>
  </si>
  <si>
    <t>SUZUKI VITARA RT-S (2WD)
4D WAGON
1.6L 6 SP AUTOMATIC</t>
  </si>
  <si>
    <t>FORD ECOSPORT AMBIENTE (2WD)
4D WAGON
1.5L 6 SP AUTOMATIC</t>
  </si>
  <si>
    <t>MAZDA CX-3 MAXX (2WD)
4D WAGON
2.0L 6 SP AUTOMATIC</t>
  </si>
  <si>
    <t>MAZDA CX-3 MAXX (2WD)
4D WAGON
1.5L DIESEL TURBO 6 SP AUTOMATIC</t>
  </si>
  <si>
    <t>MITSUBISHI ASX LS (2WD)
4D WAGON
2.0L CVT</t>
  </si>
  <si>
    <t>HOLDEN TRAX LS (2WD)
4D WAGON
1.4L TURBO 6 SP AUTOMATIC</t>
  </si>
  <si>
    <t>NISSAN QASHQAI ST (2WD)
4D WAGON
2.0L CVT</t>
  </si>
  <si>
    <t>HONDA HR-V VTi (2WD)
4D WAGON
1.8L CVT</t>
  </si>
  <si>
    <t>SUBARU XV 2.0i (AWD)
4D WAGON
2.0L CVT</t>
  </si>
  <si>
    <t>MITSUBISHI ASX LS (4WD)
4D WAGON
2.2L DIESEL TURBO CVT</t>
  </si>
  <si>
    <t>AUDI Q3 1.4 TFSI (2WD)
4D WAGON
1.4L TURBO 6 SP AUTOMATIC</t>
  </si>
  <si>
    <t>MERCEDES-BENZ GLA 180 (2WD)
4D WAGON
1.6L TURBO 7 SP AUTOMATIC</t>
  </si>
  <si>
    <t>BMW X1 sDRIVE 20i (2WD)
4D WAGON
2.0L TURBO 8 SP AUTOMATIC</t>
  </si>
  <si>
    <t xml:space="preserve">MAZDA CX-5 MAXX (AWD)
4D WAGON
2.5L 6 SP AUTOMATIC
</t>
  </si>
  <si>
    <t>HAVAL H6 PREMIUM (2WD)
4D WAGON
2.0L TURBO 6 SP AUTOMATIC</t>
  </si>
  <si>
    <t>KIA SPORTAGE Si (AWD)
4D WAGON
2.0L TURBO 6 SP AUTOMATIC</t>
  </si>
  <si>
    <t>FORD ESCAPE AMBIENTE (AWD)
4D WAGON
1.5L TURBO 6 SP AUTOMATIC</t>
  </si>
  <si>
    <t>MITSUBISHI OUTLANDER LS (AWD)
4D WAGON
2.4L CVT</t>
  </si>
  <si>
    <t>HONDA CRV VTi (AWD)
4D WAGON
2.4L 5 SP AUTOMATIC</t>
  </si>
  <si>
    <t>NISSAN X-TRAIL ST (AWD)
4D WAGON
2.5L CVT</t>
  </si>
  <si>
    <t>TOYOTA RAV4 GX (AWD)
4D WAGON
2.5L 6 SP AUTOMATIC</t>
  </si>
  <si>
    <t>MAZDA CX-5 MAXX SPORT (AWD)
4D WAGON
2.2L DIESEL TURBO 6 SP AUTOMATIC</t>
  </si>
  <si>
    <t>NISSAN X-TRAIL TS (2WD)
4D WAGON
1.6L DIESEL TURBO CVT</t>
  </si>
  <si>
    <t>SUBARU FORESTER 2.5i-L (AWD)
4D WAGON
2.5L CVT</t>
  </si>
  <si>
    <t>HYUNDAI TUCSON ELITE R-SERIES
(AWD)
4D WAGON
2.0L DIESEL TURBO 6 SP AUTOMATIC</t>
  </si>
  <si>
    <t>VOLKSWAGEN TIGUAN 132 TSI
COMFORTLINE (AWD)
4D WAGON
2.0L TURBO 7 SP AUTOMATIC</t>
  </si>
  <si>
    <t>HYUNDAI TUCSON ELITE (AWD)
4D WAGON
1.6L TURBO 7 SP AUTOMATIC</t>
  </si>
  <si>
    <t>JEEP CHEROKEE LONGITUDE (AWD)
4D WAGON
3.2L 9 SP AUTOMATIC</t>
  </si>
  <si>
    <t>VOLVO XC60 KINETIC (AWD)
4D WAGON
2.4L TURBO DIESEL 6 SP AUTOMATIC</t>
  </si>
  <si>
    <t>BMW X3 xDRIVE 20i (AWD)
4D WAGON
2.0L TURBO 8 SP AUTOMATIC</t>
  </si>
  <si>
    <t>MERCEDES-BENZ GLC 220d (AWD)
4D WAGON
2.1L TURBO DIESEL 9 SP AUTOMATIC</t>
  </si>
  <si>
    <t>AUDI Q5 2.0 TFSI QUATTRO (AWD)
4D WAGON
2.0L TURBO 8 SP AUTOMATIC</t>
  </si>
  <si>
    <t>SUV - LARGE</t>
  </si>
  <si>
    <t>SUV - MEDIUM</t>
  </si>
  <si>
    <t>SUV - SMALL</t>
  </si>
  <si>
    <t>SUBARU OUTBACK 2.5i (AWD)
4D WAGON
2.5L PETROL CVT</t>
  </si>
  <si>
    <t>SUBARU OUTBACK 2.0D (AWD)
4D WAGON
2.0L DIESEL TURBO CVT</t>
  </si>
  <si>
    <t>HYUNDAI SANTA FE ACTIVE CRDi (AWD)
4D WAGON
2.2L DIESEL TURBO 6 SP AUTOMATIC</t>
  </si>
  <si>
    <t>HOLDEN CAPTIVA 7 LT (AWD)
4D WAGON
2.2L DIESEL TURBO 6 SP AUTOMATIC</t>
  </si>
  <si>
    <t>HOLDEN CAPTIVA 7 LT (AWD)
4D WAGON
3.0L 6 SP AUTOMATIC</t>
  </si>
  <si>
    <t>KIA SORENTO Si (AWD)
4D WAGON
2.2L DIESEL TURBO 6 SP AUTOMATIC</t>
  </si>
  <si>
    <t>NISSAN PATHFINDER ST (AWD)
4D WAGON
3.5L CVT</t>
  </si>
  <si>
    <t>MAZDA CX-9 SPORT (AWD)
4D WAGON
2.5L PETROL TURBO 6 SP AUTOMATIC</t>
  </si>
  <si>
    <t>TOYOTA KLUGER GX (AWD)
4D WAGON
3.5L 6 SP AUTOMATIC</t>
  </si>
  <si>
    <t>SUV - ALL TERRAIN</t>
  </si>
  <si>
    <t>MITSUBISHI PAJERO SPORT GLX (4x4)
4D WAGON
2.4L DIESEL TURBO 8 SP AUTOMATIC</t>
  </si>
  <si>
    <t>SUZU MU-X LS-M (4x4)
4D WAGON
3.0L DIESEL TURBO 6 SP AUTOMATIC</t>
  </si>
  <si>
    <t>HOLDEN TRAILBLAZER LT (4x4)
4D WAGON
2.8L DIESEL TURBO 6 SP AUTOMATIC</t>
  </si>
  <si>
    <t>TOYOTA FORTUNER GX (4x4)
4D WAGON
2.8L DIESEL TURBO 6 SP AUTOMATIC</t>
  </si>
  <si>
    <t>ORD EVEREST AMBIENTE (4x4)
4D WAGON
3.2L DIESEL TURBO 6 SP AUTOMATIC</t>
  </si>
  <si>
    <t>MITSUBISHI PAJERO GLX (4x4)
4D WAGON
3.2L DIESEL TURBO 5 SP AUTOMATIC</t>
  </si>
  <si>
    <t>JEEP GRAND CHEROKEE LAREDO (4x4)
4D WAGON
3.6L 8 SP AUTOMATIC</t>
  </si>
  <si>
    <t>TOYOTA PRADO GXL (4x4)
4D WAGON
2.8L DIESEL TURBO 6 SP AUTOMATIC</t>
  </si>
  <si>
    <t>JEEP GRAND CHEROKEE LAREDO (4x4)
4D WAGON
3.0L DIESEL TURBO 8 SP AUTOMATIC</t>
  </si>
  <si>
    <t>TOYOTA PRADO GXL (4x4)
4D WAGON
4.0L 6 SP AUTOMATIC</t>
  </si>
  <si>
    <t>TOYOTA LANDCRUISER GXL (4x4)
4D WAGON
4.5L DIESEL TURBO 6 SP AUTOMATIC</t>
  </si>
  <si>
    <t>NISSAN PATROL Ti (4x4)
4D WAGON
5.6L 7 SP AUTOMATIC</t>
  </si>
  <si>
    <t>TOYOTA LANDCRUISER GXL (4x4)
4D WAGON
4.6L 6 SP AUTOMATIC</t>
  </si>
  <si>
    <t>2WD UTES</t>
  </si>
  <si>
    <t>HOLDEN UTE
3.6L 6 SP AUTOMATIC</t>
  </si>
  <si>
    <t>MITSUBISHI TRITON GLX
DUAL CAB UTILITY
2.4L DIESEL TURBO 5 SP AUTOMATIC</t>
  </si>
  <si>
    <t>FORD RANGER XL 2.2 HI-RIDER
CREW CAB P/UP
2.2L DIESEL TURBO 6 SP AUTOMATIC</t>
  </si>
  <si>
    <t>TOYOTA HILUX SR
DUAL CAB P/UP
4.0L 6 SP AUTOMATIC</t>
  </si>
  <si>
    <t>4WD UTES</t>
  </si>
  <si>
    <t>MITSUBISHI TRITON GLX (4x4)
2.4L DIESEL TURBO 5 SP AUTOMATIC</t>
  </si>
  <si>
    <t>NISSAN NAVARA RX (4x4)
2.3L DIESEL TURBO 7 SP AUTOMATIC</t>
  </si>
  <si>
    <t>HOLDEN COLORADO LS (4x4)
2.8L DIESEL TURBO 6 SP AUTOMATIC</t>
  </si>
  <si>
    <t>ISUZU D-MAX SX (4x4)
3.0L DIESEL TURBO 6 SP AUTOMATIC</t>
  </si>
  <si>
    <t>FORD RANGER XL 3.2 (4x4)
3.2L DIESEL TURBO 6 SP AUTOMATIC</t>
  </si>
  <si>
    <t>VOLKSWAGEN AMAROK TDI420 CORE
(4x4)
2.0L DIESEL TURBO 8 SP AUTOMATIC</t>
  </si>
  <si>
    <t>MAZDA BT50 XT (4x4)
3.2L DIESEL TURBO 6 SP AUTOMATIC</t>
  </si>
  <si>
    <t>TOYOTA HILUX SR (4x4)
2.8L DIESEL TURBO 6 SP AUTOMATIC</t>
  </si>
  <si>
    <t>ELECTRIC CARS</t>
  </si>
  <si>
    <t>MITSUBISHI OUTLANDER PHEV
4D WAGON</t>
  </si>
  <si>
    <t>BMW i3
5D HATCHBACK</t>
  </si>
  <si>
    <t>TESLA MODEL S 75
5D HATCHBACK</t>
  </si>
  <si>
    <t>TESLA MODEL X 75D
5D WAGON</t>
  </si>
  <si>
    <t>CATEGORY</t>
  </si>
  <si>
    <t>MODEL</t>
  </si>
  <si>
    <t>Default, can be adjusted as required (note: PWC report from 2006 states the assumption that "one-third of all costs are business-related")</t>
  </si>
  <si>
    <r>
      <t xml:space="preserve">Private use % </t>
    </r>
    <r>
      <rPr>
        <sz val="12"/>
        <rFont val="Arial"/>
        <family val="2"/>
      </rPr>
      <t>(default figure of 66.67%)</t>
    </r>
  </si>
  <si>
    <r>
      <t xml:space="preserve">Total annual kilometres </t>
    </r>
    <r>
      <rPr>
        <sz val="12"/>
        <rFont val="Arial"/>
        <family val="2"/>
      </rPr>
      <t>(default figure of 30,000 km/year)</t>
    </r>
  </si>
  <si>
    <t>FBT gross-up factor</t>
  </si>
  <si>
    <t>Input data</t>
  </si>
  <si>
    <t>Cost of Vehicle</t>
  </si>
  <si>
    <t>Fringe benefits tax</t>
  </si>
  <si>
    <t>A</t>
  </si>
  <si>
    <t>B</t>
  </si>
  <si>
    <t>C</t>
  </si>
  <si>
    <t>D</t>
  </si>
  <si>
    <t>E</t>
  </si>
  <si>
    <t>G</t>
  </si>
  <si>
    <t>H</t>
  </si>
  <si>
    <t>I</t>
  </si>
  <si>
    <t>J</t>
  </si>
  <si>
    <t>K</t>
  </si>
  <si>
    <t>L</t>
  </si>
  <si>
    <t>M</t>
  </si>
  <si>
    <t>O</t>
  </si>
  <si>
    <t>P</t>
  </si>
  <si>
    <t>Q</t>
  </si>
  <si>
    <t>R</t>
  </si>
  <si>
    <t>S</t>
  </si>
  <si>
    <t>For additional information on executive vehicle cost to package &amp; definitions, click here to download the Executive Employment Handbook</t>
  </si>
  <si>
    <t>Purchase price incl. GST</t>
  </si>
  <si>
    <r>
      <t>Vehicle cost</t>
    </r>
    <r>
      <rPr>
        <sz val="12"/>
        <rFont val="Arial"/>
        <family val="2"/>
      </rPr>
      <t xml:space="preserve"> (excl. GST)</t>
    </r>
  </si>
  <si>
    <r>
      <t xml:space="preserve">Prepaid items </t>
    </r>
    <r>
      <rPr>
        <sz val="12"/>
        <rFont val="Arial"/>
        <family val="2"/>
      </rPr>
      <t xml:space="preserve">(e.g. service, roadside assist, fuel) </t>
    </r>
  </si>
  <si>
    <r>
      <t xml:space="preserve">Capital cost </t>
    </r>
    <r>
      <rPr>
        <sz val="14"/>
        <rFont val="Arial"/>
        <family val="2"/>
      </rPr>
      <t>[A + B + C - D]</t>
    </r>
  </si>
  <si>
    <t>Excl</t>
  </si>
  <si>
    <t>N</t>
  </si>
  <si>
    <r>
      <t xml:space="preserve">Standing cost </t>
    </r>
    <r>
      <rPr>
        <sz val="12"/>
        <rFont val="Arial"/>
        <family val="2"/>
      </rPr>
      <t>(registration, insurance, etc.)</t>
    </r>
  </si>
  <si>
    <t>T</t>
  </si>
  <si>
    <r>
      <t xml:space="preserve">Total annual cost to executive </t>
    </r>
    <r>
      <rPr>
        <sz val="14"/>
        <rFont val="Arial"/>
        <family val="2"/>
      </rPr>
      <t>[O + P]</t>
    </r>
  </si>
  <si>
    <r>
      <t xml:space="preserve">Fortnightly cost of vehicle </t>
    </r>
    <r>
      <rPr>
        <sz val="14"/>
        <rFont val="Arial"/>
        <family val="2"/>
      </rPr>
      <t>[O/(365.25/14)]</t>
    </r>
  </si>
  <si>
    <r>
      <t xml:space="preserve">Fortnightly FBT </t>
    </r>
    <r>
      <rPr>
        <sz val="14"/>
        <rFont val="Arial"/>
        <family val="2"/>
      </rPr>
      <t>[P/(365.25/14)]</t>
    </r>
  </si>
  <si>
    <r>
      <t xml:space="preserve">Total fortnightly cost to executive </t>
    </r>
    <r>
      <rPr>
        <sz val="14"/>
        <rFont val="Arial"/>
        <family val="2"/>
      </rPr>
      <t>[R + S]</t>
    </r>
  </si>
  <si>
    <t>Depreciation ($/week)</t>
  </si>
  <si>
    <t>REGRESSION - Depreciation vs List price</t>
  </si>
  <si>
    <r>
      <t xml:space="preserve">Annual cost of vehicle </t>
    </r>
    <r>
      <rPr>
        <sz val="14"/>
        <rFont val="Arial"/>
        <family val="2"/>
      </rPr>
      <t>[(F x I) + (F x J) + (E x F x H)]</t>
    </r>
  </si>
  <si>
    <r>
      <t xml:space="preserve">Annual subtotal FBT </t>
    </r>
    <r>
      <rPr>
        <sz val="14"/>
        <rFont val="Arial"/>
        <family val="2"/>
      </rPr>
      <t>[K x L x M x N]</t>
    </r>
  </si>
  <si>
    <r>
      <t>Standing cost</t>
    </r>
    <r>
      <rPr>
        <sz val="12"/>
        <rFont val="Arial"/>
        <family val="2"/>
      </rPr>
      <t xml:space="preserve"> (depreciation)</t>
    </r>
  </si>
  <si>
    <r>
      <t xml:space="preserve">Running cost ($/km) </t>
    </r>
    <r>
      <rPr>
        <sz val="12"/>
        <rFont val="Arial"/>
        <family val="2"/>
      </rPr>
      <t>&gt;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select car type from dropdown list</t>
    </r>
  </si>
  <si>
    <t>These values apply from 10 October 2018</t>
  </si>
  <si>
    <t>https://www.racv.com.au/on-the-road/roadside-assistance.html?int_cam=abt-hp-var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</si>
</sst>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164" formatCode="&quot;$&quot;#,##0.00"/>
    <numFmt numFmtId="165" formatCode="&quot;$&quot;#,##0"/>
    <numFmt numFmtId="166" formatCode="0.0000"/>
    <numFmt numFmtId="167" formatCode="&quot;$&quot;#,##0.0000;[Red]\-&quot;$&quot;#,##0.0000"/>
    <numFmt numFmtId="168" formatCode="[$-C09]dd\-mmmm\-yyyy;@"/>
  </numFmts>
  <fonts count="2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0"/>
      <color theme="0"/>
      <name val="Arial"/>
      <family val="2"/>
    </font>
    <font>
      <b/>
      <sz val="24"/>
      <color theme="0"/>
      <name val="Arial"/>
      <family val="2"/>
    </font>
    <font>
      <sz val="12"/>
      <color theme="0"/>
      <name val="Arial"/>
      <family val="2"/>
    </font>
    <font>
      <u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Fill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6" xfId="0" applyFont="1" applyFill="1" applyBorder="1"/>
    <xf numFmtId="167" fontId="3" fillId="0" borderId="3" xfId="0" applyNumberFormat="1" applyFont="1" applyBorder="1" applyAlignment="1"/>
    <xf numFmtId="167" fontId="3" fillId="0" borderId="4" xfId="0" applyNumberFormat="1" applyFont="1" applyBorder="1" applyAlignment="1"/>
    <xf numFmtId="167" fontId="3" fillId="0" borderId="5" xfId="0" applyNumberFormat="1" applyFont="1" applyBorder="1" applyAlignment="1"/>
    <xf numFmtId="0" fontId="3" fillId="0" borderId="4" xfId="0" applyFont="1" applyFill="1" applyBorder="1" applyAlignment="1" applyProtection="1">
      <alignment horizontal="center"/>
      <protection locked="0"/>
    </xf>
    <xf numFmtId="0" fontId="6" fillId="0" borderId="0" xfId="0" applyFont="1" applyFill="1" applyAlignment="1">
      <alignment vertical="top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3" fillId="3" borderId="1" xfId="0" applyFont="1" applyFill="1" applyBorder="1"/>
    <xf numFmtId="0" fontId="13" fillId="3" borderId="4" xfId="0" applyFont="1" applyFill="1" applyBorder="1"/>
    <xf numFmtId="0" fontId="14" fillId="3" borderId="0" xfId="0" applyFont="1" applyFill="1" applyBorder="1" applyProtection="1">
      <protection locked="0"/>
    </xf>
    <xf numFmtId="0" fontId="15" fillId="3" borderId="0" xfId="0" applyFont="1" applyFill="1" applyBorder="1" applyAlignment="1">
      <alignment horizontal="center"/>
    </xf>
    <xf numFmtId="0" fontId="14" fillId="3" borderId="7" xfId="0" applyFont="1" applyFill="1" applyBorder="1"/>
    <xf numFmtId="0" fontId="16" fillId="3" borderId="8" xfId="0" applyFont="1" applyFill="1" applyBorder="1"/>
    <xf numFmtId="0" fontId="14" fillId="3" borderId="9" xfId="0" applyFont="1" applyFill="1" applyBorder="1"/>
    <xf numFmtId="0" fontId="13" fillId="3" borderId="1" xfId="0" applyFont="1" applyFill="1" applyBorder="1" applyAlignment="1"/>
    <xf numFmtId="0" fontId="13" fillId="3" borderId="4" xfId="0" applyFont="1" applyFill="1" applyBorder="1" applyAlignment="1"/>
    <xf numFmtId="0" fontId="17" fillId="3" borderId="2" xfId="0" applyFont="1" applyFill="1" applyBorder="1" applyAlignment="1">
      <alignment vertical="center"/>
    </xf>
    <xf numFmtId="0" fontId="17" fillId="3" borderId="5" xfId="0" applyFont="1" applyFill="1" applyBorder="1" applyAlignment="1">
      <alignment vertical="center"/>
    </xf>
    <xf numFmtId="0" fontId="13" fillId="0" borderId="0" xfId="0" applyFont="1" applyFill="1"/>
    <xf numFmtId="0" fontId="13" fillId="0" borderId="0" xfId="0" applyFont="1" applyFill="1" applyAlignment="1"/>
    <xf numFmtId="0" fontId="7" fillId="4" borderId="2" xfId="0" applyFont="1" applyFill="1" applyBorder="1"/>
    <xf numFmtId="0" fontId="5" fillId="4" borderId="10" xfId="0" applyFont="1" applyFill="1" applyBorder="1" applyProtection="1">
      <protection hidden="1"/>
    </xf>
    <xf numFmtId="0" fontId="7" fillId="4" borderId="2" xfId="0" applyFont="1" applyFill="1" applyBorder="1" applyAlignment="1">
      <alignment horizontal="left"/>
    </xf>
    <xf numFmtId="0" fontId="0" fillId="0" borderId="0" xfId="0" applyFill="1" applyBorder="1" applyAlignment="1"/>
    <xf numFmtId="0" fontId="0" fillId="0" borderId="11" xfId="0" applyFill="1" applyBorder="1" applyAlignment="1"/>
    <xf numFmtId="0" fontId="11" fillId="0" borderId="12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Continuous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4" borderId="0" xfId="0" applyFont="1" applyFill="1" applyBorder="1" applyAlignment="1"/>
    <xf numFmtId="0" fontId="2" fillId="4" borderId="11" xfId="0" applyFont="1" applyFill="1" applyBorder="1" applyAlignment="1"/>
    <xf numFmtId="0" fontId="2" fillId="4" borderId="0" xfId="0" applyFont="1" applyFill="1"/>
    <xf numFmtId="0" fontId="2" fillId="0" borderId="6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66" fontId="3" fillId="0" borderId="3" xfId="0" applyNumberFormat="1" applyFont="1" applyBorder="1" applyAlignment="1"/>
    <xf numFmtId="166" fontId="3" fillId="0" borderId="4" xfId="0" applyNumberFormat="1" applyFont="1" applyBorder="1" applyAlignment="1"/>
    <xf numFmtId="166" fontId="3" fillId="0" borderId="5" xfId="0" applyNumberFormat="1" applyFont="1" applyBorder="1" applyAlignment="1"/>
    <xf numFmtId="0" fontId="0" fillId="0" borderId="4" xfId="0" applyBorder="1"/>
    <xf numFmtId="0" fontId="3" fillId="0" borderId="5" xfId="0" applyFont="1" applyBorder="1" applyAlignment="1"/>
    <xf numFmtId="0" fontId="3" fillId="0" borderId="13" xfId="0" applyFont="1" applyBorder="1"/>
    <xf numFmtId="0" fontId="3" fillId="0" borderId="14" xfId="0" applyFont="1" applyBorder="1"/>
    <xf numFmtId="0" fontId="3" fillId="4" borderId="13" xfId="0" applyFont="1" applyFill="1" applyBorder="1"/>
    <xf numFmtId="0" fontId="0" fillId="4" borderId="4" xfId="0" applyFill="1" applyBorder="1"/>
    <xf numFmtId="0" fontId="18" fillId="3" borderId="15" xfId="0" applyFont="1" applyFill="1" applyBorder="1"/>
    <xf numFmtId="0" fontId="18" fillId="3" borderId="7" xfId="0" applyFont="1" applyFill="1" applyBorder="1"/>
    <xf numFmtId="0" fontId="7" fillId="4" borderId="6" xfId="0" applyFont="1" applyFill="1" applyBorder="1" applyAlignment="1" applyProtection="1">
      <protection hidden="1"/>
    </xf>
    <xf numFmtId="0" fontId="3" fillId="4" borderId="3" xfId="0" applyFont="1" applyFill="1" applyBorder="1" applyAlignment="1"/>
    <xf numFmtId="165" fontId="8" fillId="4" borderId="3" xfId="0" applyNumberFormat="1" applyFont="1" applyFill="1" applyBorder="1" applyAlignment="1">
      <alignment horizontal="center"/>
    </xf>
    <xf numFmtId="0" fontId="7" fillId="4" borderId="1" xfId="0" applyFont="1" applyFill="1" applyBorder="1" applyAlignment="1" applyProtection="1">
      <protection hidden="1"/>
    </xf>
    <xf numFmtId="0" fontId="3" fillId="4" borderId="4" xfId="0" applyFont="1" applyFill="1" applyBorder="1"/>
    <xf numFmtId="165" fontId="8" fillId="4" borderId="4" xfId="0" applyNumberFormat="1" applyFont="1" applyFill="1" applyBorder="1" applyAlignment="1">
      <alignment horizontal="center"/>
    </xf>
    <xf numFmtId="165" fontId="7" fillId="4" borderId="4" xfId="0" applyNumberFormat="1" applyFont="1" applyFill="1" applyBorder="1" applyAlignment="1">
      <alignment horizontal="center"/>
    </xf>
    <xf numFmtId="0" fontId="7" fillId="4" borderId="2" xfId="0" applyFont="1" applyFill="1" applyBorder="1" applyAlignment="1" applyProtection="1">
      <protection hidden="1"/>
    </xf>
    <xf numFmtId="0" fontId="3" fillId="4" borderId="5" xfId="0" applyFont="1" applyFill="1" applyBorder="1"/>
    <xf numFmtId="165" fontId="7" fillId="4" borderId="5" xfId="0" applyNumberFormat="1" applyFont="1" applyFill="1" applyBorder="1" applyAlignment="1">
      <alignment horizontal="center"/>
    </xf>
    <xf numFmtId="0" fontId="7" fillId="4" borderId="6" xfId="0" applyFont="1" applyFill="1" applyBorder="1" applyProtection="1">
      <protection hidden="1"/>
    </xf>
    <xf numFmtId="0" fontId="5" fillId="4" borderId="16" xfId="0" applyFont="1" applyFill="1" applyBorder="1"/>
    <xf numFmtId="164" fontId="7" fillId="4" borderId="17" xfId="0" applyNumberFormat="1" applyFont="1" applyFill="1" applyBorder="1" applyAlignment="1" applyProtection="1">
      <alignment horizontal="center"/>
      <protection locked="0"/>
    </xf>
    <xf numFmtId="0" fontId="7" fillId="4" borderId="1" xfId="0" applyFont="1" applyFill="1" applyBorder="1"/>
    <xf numFmtId="0" fontId="5" fillId="4" borderId="0" xfId="0" applyFont="1" applyFill="1" applyBorder="1" applyProtection="1">
      <protection hidden="1"/>
    </xf>
    <xf numFmtId="2" fontId="7" fillId="4" borderId="13" xfId="0" applyNumberFormat="1" applyFont="1" applyFill="1" applyBorder="1" applyAlignment="1">
      <alignment horizontal="center"/>
    </xf>
    <xf numFmtId="0" fontId="7" fillId="4" borderId="13" xfId="0" applyFont="1" applyFill="1" applyBorder="1"/>
    <xf numFmtId="164" fontId="7" fillId="4" borderId="13" xfId="0" applyNumberFormat="1" applyFont="1" applyFill="1" applyBorder="1" applyAlignment="1" applyProtection="1">
      <alignment horizontal="center"/>
      <protection locked="0"/>
    </xf>
    <xf numFmtId="0" fontId="7" fillId="4" borderId="13" xfId="0" applyFont="1" applyFill="1" applyBorder="1" applyAlignment="1">
      <alignment horizontal="left"/>
    </xf>
    <xf numFmtId="8" fontId="7" fillId="4" borderId="13" xfId="0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left"/>
    </xf>
    <xf numFmtId="0" fontId="5" fillId="4" borderId="3" xfId="0" applyFont="1" applyFill="1" applyBorder="1"/>
    <xf numFmtId="0" fontId="7" fillId="4" borderId="1" xfId="0" applyFont="1" applyFill="1" applyBorder="1" applyAlignment="1">
      <alignment horizontal="left"/>
    </xf>
    <xf numFmtId="0" fontId="5" fillId="4" borderId="4" xfId="0" applyFont="1" applyFill="1" applyBorder="1"/>
    <xf numFmtId="0" fontId="5" fillId="4" borderId="5" xfId="0" applyFont="1" applyFill="1" applyBorder="1"/>
    <xf numFmtId="0" fontId="7" fillId="4" borderId="17" xfId="0" applyFont="1" applyFill="1" applyBorder="1"/>
    <xf numFmtId="0" fontId="7" fillId="4" borderId="14" xfId="0" applyFont="1" applyFill="1" applyBorder="1"/>
    <xf numFmtId="168" fontId="8" fillId="2" borderId="14" xfId="0" applyNumberFormat="1" applyFont="1" applyFill="1" applyBorder="1" applyAlignment="1" applyProtection="1">
      <alignment horizontal="left"/>
      <protection locked="0"/>
    </xf>
    <xf numFmtId="0" fontId="3" fillId="4" borderId="14" xfId="0" applyFont="1" applyFill="1" applyBorder="1"/>
    <xf numFmtId="10" fontId="7" fillId="4" borderId="14" xfId="0" applyNumberFormat="1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0" fillId="0" borderId="17" xfId="0" applyBorder="1"/>
    <xf numFmtId="9" fontId="0" fillId="0" borderId="17" xfId="0" applyNumberFormat="1" applyBorder="1"/>
    <xf numFmtId="0" fontId="0" fillId="0" borderId="13" xfId="0" applyBorder="1"/>
    <xf numFmtId="2" fontId="0" fillId="0" borderId="13" xfId="0" applyNumberFormat="1" applyBorder="1"/>
    <xf numFmtId="0" fontId="4" fillId="0" borderId="13" xfId="1" applyBorder="1" applyAlignment="1" applyProtection="1"/>
    <xf numFmtId="9" fontId="0" fillId="0" borderId="13" xfId="0" applyNumberFormat="1" applyBorder="1"/>
    <xf numFmtId="0" fontId="0" fillId="4" borderId="13" xfId="0" applyFill="1" applyBorder="1"/>
    <xf numFmtId="2" fontId="0" fillId="4" borderId="13" xfId="0" applyNumberFormat="1" applyFill="1" applyBorder="1"/>
    <xf numFmtId="0" fontId="4" fillId="4" borderId="13" xfId="1" applyFill="1" applyBorder="1" applyAlignment="1" applyProtection="1"/>
    <xf numFmtId="0" fontId="0" fillId="4" borderId="14" xfId="0" applyFill="1" applyBorder="1"/>
    <xf numFmtId="166" fontId="7" fillId="4" borderId="14" xfId="0" applyNumberFormat="1" applyFont="1" applyFill="1" applyBorder="1" applyAlignment="1">
      <alignment horizontal="center"/>
    </xf>
    <xf numFmtId="3" fontId="7" fillId="4" borderId="13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 applyProtection="1">
      <alignment horizontal="center"/>
      <protection locked="0"/>
    </xf>
    <xf numFmtId="3" fontId="7" fillId="4" borderId="4" xfId="0" applyNumberFormat="1" applyFont="1" applyFill="1" applyBorder="1" applyAlignment="1">
      <alignment horizontal="center"/>
    </xf>
    <xf numFmtId="10" fontId="7" fillId="4" borderId="4" xfId="0" applyNumberFormat="1" applyFont="1" applyFill="1" applyBorder="1" applyAlignment="1" applyProtection="1">
      <alignment horizontal="center"/>
      <protection locked="0"/>
    </xf>
    <xf numFmtId="0" fontId="14" fillId="3" borderId="4" xfId="0" applyFont="1" applyFill="1" applyBorder="1"/>
    <xf numFmtId="8" fontId="7" fillId="4" borderId="4" xfId="0" applyNumberFormat="1" applyFont="1" applyFill="1" applyBorder="1" applyAlignment="1">
      <alignment horizontal="center"/>
    </xf>
    <xf numFmtId="2" fontId="7" fillId="4" borderId="4" xfId="0" applyNumberFormat="1" applyFont="1" applyFill="1" applyBorder="1" applyAlignment="1">
      <alignment horizontal="center"/>
    </xf>
    <xf numFmtId="166" fontId="7" fillId="4" borderId="4" xfId="0" applyNumberFormat="1" applyFont="1" applyFill="1" applyBorder="1" applyAlignment="1">
      <alignment horizontal="center"/>
    </xf>
    <xf numFmtId="165" fontId="7" fillId="4" borderId="17" xfId="0" applyNumberFormat="1" applyFont="1" applyFill="1" applyBorder="1" applyAlignment="1">
      <alignment horizontal="center"/>
    </xf>
    <xf numFmtId="0" fontId="3" fillId="4" borderId="1" xfId="0" applyFont="1" applyFill="1" applyBorder="1"/>
    <xf numFmtId="2" fontId="3" fillId="0" borderId="0" xfId="0" applyNumberFormat="1" applyFont="1"/>
    <xf numFmtId="0" fontId="4" fillId="4" borderId="14" xfId="1" applyFill="1" applyBorder="1" applyAlignment="1" applyProtection="1"/>
    <xf numFmtId="0" fontId="3" fillId="4" borderId="4" xfId="0" applyFont="1" applyFill="1" applyBorder="1" applyProtection="1">
      <protection locked="0"/>
    </xf>
    <xf numFmtId="0" fontId="21" fillId="3" borderId="10" xfId="1" applyFont="1" applyFill="1" applyBorder="1" applyAlignment="1" applyProtection="1">
      <alignment horizontal="left" vertical="center"/>
    </xf>
    <xf numFmtId="0" fontId="7" fillId="4" borderId="1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19" fillId="3" borderId="6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top"/>
    </xf>
    <xf numFmtId="0" fontId="20" fillId="3" borderId="0" xfId="0" applyFont="1" applyFill="1" applyBorder="1" applyAlignment="1">
      <alignment horizontal="center" vertical="top"/>
    </xf>
    <xf numFmtId="0" fontId="20" fillId="3" borderId="4" xfId="0" applyFont="1" applyFill="1" applyBorder="1" applyAlignment="1">
      <alignment horizontal="center" vertical="top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8" fillId="2" borderId="16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99B0C"/>
      <rgbColor rgb="00FFFFFF"/>
      <rgbColor rgb="000038A8"/>
      <rgbColor rgb="0000FF00"/>
      <rgbColor rgb="000000FF"/>
      <rgbColor rgb="00FFFF00"/>
      <rgbColor rgb="00B5AC32"/>
      <rgbColor rgb="0000FFFF"/>
      <rgbColor rgb="004D4D4D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BE7C1"/>
      <rgbColor rgb="00CC99FF"/>
      <rgbColor rgb="00F4F2DC"/>
      <rgbColor rgb="003366FF"/>
      <rgbColor rgb="0033CCCC"/>
      <rgbColor rgb="0099CC00"/>
      <rgbColor rgb="00FFCC00"/>
      <rgbColor rgb="00FF9900"/>
      <rgbColor rgb="00DCDCDC"/>
      <rgbColor rgb="00666699"/>
      <rgbColor rgb="00969696"/>
      <rgbColor rgb="00003366"/>
      <rgbColor rgb="00339966"/>
      <rgbColor rgb="00003300"/>
      <rgbColor rgb="00333300"/>
      <rgbColor rgb="000000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numFmt formatCode="General" sourceLinked="0"/>
            </c:trendlineLbl>
          </c:trendline>
          <c:xVal>
            <c:numRef>
              <c:f>'LIGHT CARS'!$B$2:$M$2</c:f>
              <c:numCache>
                <c:formatCode>General</c:formatCode>
                <c:ptCount val="12"/>
                <c:pt idx="0">
                  <c:v>16990</c:v>
                </c:pt>
                <c:pt idx="1">
                  <c:v>16990</c:v>
                </c:pt>
                <c:pt idx="2">
                  <c:v>16990</c:v>
                </c:pt>
                <c:pt idx="3">
                  <c:v>17825</c:v>
                </c:pt>
                <c:pt idx="4">
                  <c:v>19090</c:v>
                </c:pt>
                <c:pt idx="5">
                  <c:v>16820</c:v>
                </c:pt>
                <c:pt idx="6">
                  <c:v>17190</c:v>
                </c:pt>
                <c:pt idx="7">
                  <c:v>19690</c:v>
                </c:pt>
                <c:pt idx="8">
                  <c:v>23450</c:v>
                </c:pt>
                <c:pt idx="9">
                  <c:v>21500</c:v>
                </c:pt>
                <c:pt idx="10">
                  <c:v>28600</c:v>
                </c:pt>
                <c:pt idx="11">
                  <c:v>29000</c:v>
                </c:pt>
              </c:numCache>
            </c:numRef>
          </c:xVal>
          <c:yVal>
            <c:numRef>
              <c:f>'LIGHT CARS'!$B$4:$M$4</c:f>
              <c:numCache>
                <c:formatCode>0.00</c:formatCode>
                <c:ptCount val="12"/>
                <c:pt idx="0">
                  <c:v>31.92</c:v>
                </c:pt>
                <c:pt idx="1">
                  <c:v>34.729999999999997</c:v>
                </c:pt>
                <c:pt idx="2">
                  <c:v>39.15</c:v>
                </c:pt>
                <c:pt idx="3">
                  <c:v>38.950000000000003</c:v>
                </c:pt>
                <c:pt idx="4">
                  <c:v>40</c:v>
                </c:pt>
                <c:pt idx="5">
                  <c:v>41.91</c:v>
                </c:pt>
                <c:pt idx="6">
                  <c:v>41.72</c:v>
                </c:pt>
                <c:pt idx="7">
                  <c:v>42</c:v>
                </c:pt>
                <c:pt idx="8">
                  <c:v>41.86</c:v>
                </c:pt>
                <c:pt idx="9">
                  <c:v>43.09</c:v>
                </c:pt>
                <c:pt idx="10">
                  <c:v>47.95</c:v>
                </c:pt>
                <c:pt idx="11">
                  <c:v>46.31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02-4F7F-8F5E-C5E3FEEC7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778376"/>
        <c:axId val="1"/>
      </c:scatterChart>
      <c:valAx>
        <c:axId val="612778376"/>
        <c:scaling>
          <c:orientation val="minMax"/>
          <c:max val="35000"/>
          <c:min val="1000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5000"/>
      </c:val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612778376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14" dropStyle="combo" dx="22" fmlaLink="$C$40:$C$53" fmlaRange="$B$40:$B$53" sel="1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15</xdr:row>
          <xdr:rowOff>9525</xdr:rowOff>
        </xdr:from>
        <xdr:to>
          <xdr:col>4</xdr:col>
          <xdr:colOff>3922</xdr:colOff>
          <xdr:row>16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3</xdr:col>
      <xdr:colOff>2524125</xdr:colOff>
      <xdr:row>0</xdr:row>
      <xdr:rowOff>9525</xdr:rowOff>
    </xdr:from>
    <xdr:to>
      <xdr:col>5</xdr:col>
      <xdr:colOff>0</xdr:colOff>
      <xdr:row>2</xdr:row>
      <xdr:rowOff>0</xdr:rowOff>
    </xdr:to>
    <xdr:pic>
      <xdr:nvPicPr>
        <xdr:cNvPr id="1249" name="Picture 4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1525" y="9525"/>
          <a:ext cx="15240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5</xdr:row>
      <xdr:rowOff>28575</xdr:rowOff>
    </xdr:from>
    <xdr:to>
      <xdr:col>14</xdr:col>
      <xdr:colOff>76200</xdr:colOff>
      <xdr:row>21</xdr:row>
      <xdr:rowOff>142875</xdr:rowOff>
    </xdr:to>
    <xdr:graphicFrame macro="">
      <xdr:nvGraphicFramePr>
        <xdr:cNvPr id="4196" name="Chart 1">
          <a:extLst>
            <a:ext uri="{FF2B5EF4-FFF2-40B4-BE49-F238E27FC236}">
              <a16:creationId xmlns:a16="http://schemas.microsoft.com/office/drawing/2014/main" id="{00000000-0008-0000-0400-00006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psc.vic.gov.au/resources/victorian-public-service-executive-resource-suite/" TargetMode="External"/><Relationship Id="rId1" Type="http://schemas.openxmlformats.org/officeDocument/2006/relationships/hyperlink" Target="https://vpsc.vic.gov.au/wp-content/uploads/2016/06/Victorian-Public-Service-Executive-Employment-Handbook.pdf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acv.com.au/on-the-road/roadside-assistance.html?int_cam=abt-hp-var" TargetMode="External"/><Relationship Id="rId2" Type="http://schemas.openxmlformats.org/officeDocument/2006/relationships/hyperlink" Target="https://www.ato.gov.au/rates/fbt/?page=3" TargetMode="External"/><Relationship Id="rId1" Type="http://schemas.openxmlformats.org/officeDocument/2006/relationships/hyperlink" Target="https://www.ato.gov.au/rates/fbt/?page=3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2060"/>
    <pageSetUpPr fitToPage="1"/>
  </sheetPr>
  <dimension ref="A1:G83"/>
  <sheetViews>
    <sheetView showGridLines="0" showWhiteSpace="0" topLeftCell="A13" zoomScaleNormal="100" zoomScalePageLayoutView="75" workbookViewId="0">
      <selection activeCell="D17" sqref="D17"/>
    </sheetView>
  </sheetViews>
  <sheetFormatPr defaultColWidth="0" defaultRowHeight="12.75" zeroHeight="1" x14ac:dyDescent="0.2"/>
  <cols>
    <col min="1" max="1" width="2" style="3" customWidth="1"/>
    <col min="2" max="2" width="43.85546875" style="3" customWidth="1"/>
    <col min="3" max="3" width="42.140625" style="3" customWidth="1"/>
    <col min="4" max="4" width="55.85546875" style="3" customWidth="1"/>
    <col min="5" max="5" width="4.85546875" style="3" customWidth="1"/>
    <col min="6" max="6" width="3.140625" style="3" customWidth="1"/>
    <col min="7" max="7" width="11.85546875" style="3" hidden="1"/>
    <col min="8" max="16384" width="9.140625" style="3" hidden="1"/>
  </cols>
  <sheetData>
    <row r="1" spans="1:7" s="16" customFormat="1" ht="35.1" customHeight="1" x14ac:dyDescent="0.2">
      <c r="A1" s="116" t="s">
        <v>2</v>
      </c>
      <c r="B1" s="117"/>
      <c r="C1" s="117"/>
      <c r="D1" s="117"/>
      <c r="E1" s="117"/>
      <c r="F1" s="118"/>
    </row>
    <row r="2" spans="1:7" s="15" customFormat="1" ht="24.95" customHeight="1" x14ac:dyDescent="0.2">
      <c r="A2" s="119" t="s">
        <v>258</v>
      </c>
      <c r="B2" s="120"/>
      <c r="C2" s="120"/>
      <c r="D2" s="120"/>
      <c r="E2" s="120"/>
      <c r="F2" s="121"/>
    </row>
    <row r="3" spans="1:7" ht="24" customHeight="1" x14ac:dyDescent="0.25">
      <c r="A3" s="18"/>
      <c r="B3" s="83" t="s">
        <v>3</v>
      </c>
      <c r="C3" s="122"/>
      <c r="D3" s="123"/>
      <c r="E3" s="124"/>
      <c r="F3" s="19"/>
      <c r="G3" s="29"/>
    </row>
    <row r="4" spans="1:7" ht="24" customHeight="1" x14ac:dyDescent="0.25">
      <c r="A4" s="18"/>
      <c r="B4" s="74" t="s">
        <v>6</v>
      </c>
      <c r="C4" s="125"/>
      <c r="D4" s="126"/>
      <c r="E4" s="127"/>
      <c r="F4" s="19"/>
      <c r="G4" s="29"/>
    </row>
    <row r="5" spans="1:7" ht="24" customHeight="1" x14ac:dyDescent="0.25">
      <c r="A5" s="18"/>
      <c r="B5" s="74" t="s">
        <v>4</v>
      </c>
      <c r="C5" s="88"/>
      <c r="D5" s="20"/>
      <c r="E5" s="20"/>
      <c r="F5" s="19"/>
      <c r="G5" s="29"/>
    </row>
    <row r="6" spans="1:7" ht="24" customHeight="1" x14ac:dyDescent="0.25">
      <c r="A6" s="18"/>
      <c r="B6" s="84" t="s">
        <v>1</v>
      </c>
      <c r="C6" s="85"/>
      <c r="D6" s="20"/>
      <c r="E6" s="20"/>
      <c r="F6" s="19"/>
      <c r="G6" s="29"/>
    </row>
    <row r="7" spans="1:7" ht="23.25" x14ac:dyDescent="0.35">
      <c r="A7" s="18"/>
      <c r="B7" s="23" t="s">
        <v>219</v>
      </c>
      <c r="C7" s="21"/>
      <c r="D7" s="21"/>
      <c r="E7" s="21"/>
      <c r="F7" s="19"/>
      <c r="G7" s="29"/>
    </row>
    <row r="8" spans="1:7" ht="24" customHeight="1" x14ac:dyDescent="0.25">
      <c r="A8" s="18"/>
      <c r="B8" s="78" t="s">
        <v>241</v>
      </c>
      <c r="C8" s="79"/>
      <c r="D8" s="70">
        <v>35340</v>
      </c>
      <c r="E8" s="70" t="s">
        <v>222</v>
      </c>
      <c r="F8" s="19"/>
      <c r="G8" s="29"/>
    </row>
    <row r="9" spans="1:7" ht="24" customHeight="1" x14ac:dyDescent="0.25">
      <c r="A9" s="18"/>
      <c r="B9" s="80" t="s">
        <v>8</v>
      </c>
      <c r="C9" s="81"/>
      <c r="D9" s="75">
        <v>0</v>
      </c>
      <c r="E9" s="101" t="s">
        <v>223</v>
      </c>
      <c r="F9" s="19"/>
      <c r="G9" s="29"/>
    </row>
    <row r="10" spans="1:7" ht="24" customHeight="1" x14ac:dyDescent="0.25">
      <c r="A10" s="18"/>
      <c r="B10" s="80" t="s">
        <v>9</v>
      </c>
      <c r="C10" s="81"/>
      <c r="D10" s="75">
        <v>0</v>
      </c>
      <c r="E10" s="101" t="s">
        <v>224</v>
      </c>
      <c r="F10" s="19"/>
      <c r="G10" s="29"/>
    </row>
    <row r="11" spans="1:7" ht="24" customHeight="1" x14ac:dyDescent="0.25">
      <c r="A11" s="18"/>
      <c r="B11" s="114" t="s">
        <v>242</v>
      </c>
      <c r="C11" s="115"/>
      <c r="D11" s="75">
        <v>0</v>
      </c>
      <c r="E11" s="101" t="s">
        <v>225</v>
      </c>
      <c r="F11" s="19"/>
      <c r="G11" s="29"/>
    </row>
    <row r="12" spans="1:7" ht="24" customHeight="1" x14ac:dyDescent="0.25">
      <c r="A12" s="18"/>
      <c r="B12" s="76" t="s">
        <v>217</v>
      </c>
      <c r="C12" s="54"/>
      <c r="D12" s="100">
        <v>30000</v>
      </c>
      <c r="E12" s="102" t="s">
        <v>226</v>
      </c>
      <c r="F12" s="19"/>
      <c r="G12" s="29"/>
    </row>
    <row r="13" spans="1:7" ht="24" customHeight="1" x14ac:dyDescent="0.25">
      <c r="A13" s="18"/>
      <c r="B13" s="33" t="s">
        <v>216</v>
      </c>
      <c r="C13" s="82"/>
      <c r="D13" s="87">
        <f>(2/3)</f>
        <v>0.66666666666666663</v>
      </c>
      <c r="E13" s="103" t="s">
        <v>47</v>
      </c>
      <c r="F13" s="19"/>
      <c r="G13" s="29"/>
    </row>
    <row r="14" spans="1:7" ht="24" customHeight="1" x14ac:dyDescent="0.25">
      <c r="A14" s="18"/>
      <c r="B14" s="23" t="s">
        <v>220</v>
      </c>
      <c r="C14" s="24"/>
      <c r="D14" s="22"/>
      <c r="E14" s="104"/>
      <c r="F14" s="19"/>
      <c r="G14" s="29"/>
    </row>
    <row r="15" spans="1:7" ht="24" customHeight="1" x14ac:dyDescent="0.25">
      <c r="A15" s="18"/>
      <c r="B15" s="68" t="s">
        <v>243</v>
      </c>
      <c r="C15" s="79"/>
      <c r="D15" s="70">
        <f>SUM(D8:D10)-D11</f>
        <v>35340</v>
      </c>
      <c r="E15" s="70" t="s">
        <v>227</v>
      </c>
      <c r="F15" s="19"/>
      <c r="G15" s="29"/>
    </row>
    <row r="16" spans="1:7" ht="24" customHeight="1" x14ac:dyDescent="0.25">
      <c r="A16" s="18"/>
      <c r="B16" s="76" t="s">
        <v>257</v>
      </c>
      <c r="C16" s="54"/>
      <c r="D16" s="109"/>
      <c r="E16" s="75" t="s">
        <v>228</v>
      </c>
      <c r="F16" s="19"/>
      <c r="G16" s="29"/>
    </row>
    <row r="17" spans="1:7" ht="24" customHeight="1" x14ac:dyDescent="0.25">
      <c r="A17" s="18"/>
      <c r="B17" s="74" t="s">
        <v>246</v>
      </c>
      <c r="C17" s="54"/>
      <c r="D17" s="77">
        <f>800.8+1280.18</f>
        <v>2080.98</v>
      </c>
      <c r="E17" s="105" t="s">
        <v>229</v>
      </c>
      <c r="F17" s="19"/>
      <c r="G17" s="29"/>
    </row>
    <row r="18" spans="1:7" ht="24" customHeight="1" x14ac:dyDescent="0.25">
      <c r="A18" s="18"/>
      <c r="B18" s="31" t="s">
        <v>256</v>
      </c>
      <c r="C18" s="62"/>
      <c r="D18" s="77">
        <f>((VLOOKUP($C$40,$B$70:$C$83,2,FALSE)+(D20*(VLOOKUP($C$40,$F$70:$G$83,2,FALSE))))*(365.25/7))</f>
        <v>5035.4721563213106</v>
      </c>
      <c r="E18" s="105" t="s">
        <v>230</v>
      </c>
      <c r="F18" s="19"/>
      <c r="G18" s="29"/>
    </row>
    <row r="19" spans="1:7" ht="24" customHeight="1" x14ac:dyDescent="0.25">
      <c r="A19" s="18"/>
      <c r="B19" s="23" t="s">
        <v>221</v>
      </c>
      <c r="C19" s="24"/>
      <c r="D19" s="22"/>
      <c r="E19" s="104"/>
      <c r="F19" s="19"/>
      <c r="G19" s="29"/>
    </row>
    <row r="20" spans="1:7" ht="24" customHeight="1" x14ac:dyDescent="0.25">
      <c r="A20" s="18"/>
      <c r="B20" s="68" t="s">
        <v>240</v>
      </c>
      <c r="C20" s="69"/>
      <c r="D20" s="70">
        <f>1.1*(D8+D9)</f>
        <v>38874</v>
      </c>
      <c r="E20" s="70" t="s">
        <v>231</v>
      </c>
      <c r="F20" s="19"/>
      <c r="G20" s="29"/>
    </row>
    <row r="21" spans="1:7" ht="24" customHeight="1" x14ac:dyDescent="0.25">
      <c r="A21" s="18"/>
      <c r="B21" s="71" t="s">
        <v>10</v>
      </c>
      <c r="C21" s="72"/>
      <c r="D21" s="73">
        <v>0.2</v>
      </c>
      <c r="E21" s="106" t="s">
        <v>232</v>
      </c>
      <c r="F21" s="19"/>
      <c r="G21" s="29"/>
    </row>
    <row r="22" spans="1:7" ht="24" customHeight="1" x14ac:dyDescent="0.25">
      <c r="A22" s="18"/>
      <c r="B22" s="71" t="s">
        <v>5</v>
      </c>
      <c r="C22" s="72"/>
      <c r="D22" s="73">
        <f>IF($C$40=14,0,ASSUMPTIONS!C6)</f>
        <v>0.47</v>
      </c>
      <c r="E22" s="106" t="s">
        <v>233</v>
      </c>
      <c r="F22" s="19"/>
      <c r="G22" s="29"/>
    </row>
    <row r="23" spans="1:7" ht="24" customHeight="1" x14ac:dyDescent="0.25">
      <c r="A23" s="18"/>
      <c r="B23" s="31" t="s">
        <v>218</v>
      </c>
      <c r="C23" s="32"/>
      <c r="D23" s="99">
        <f>ASSUMPTIONS!C5</f>
        <v>1.8867924528301885</v>
      </c>
      <c r="E23" s="107" t="s">
        <v>245</v>
      </c>
      <c r="F23" s="19"/>
      <c r="G23" s="29"/>
    </row>
    <row r="24" spans="1:7" ht="24" customHeight="1" x14ac:dyDescent="0.25">
      <c r="A24" s="18"/>
      <c r="B24" s="23" t="s">
        <v>7</v>
      </c>
      <c r="C24" s="24"/>
      <c r="D24" s="22"/>
      <c r="E24" s="104"/>
      <c r="F24" s="19"/>
      <c r="G24" s="29"/>
    </row>
    <row r="25" spans="1:7" s="9" customFormat="1" ht="24" customHeight="1" x14ac:dyDescent="0.25">
      <c r="A25" s="25"/>
      <c r="B25" s="58" t="s">
        <v>254</v>
      </c>
      <c r="C25" s="59"/>
      <c r="D25" s="60">
        <f>((D17*D13)+(D18*D13)+(VLOOKUP($C$40,$F$40:$G$53,2,FALSE)*(D12*D13)))</f>
        <v>8465.5514375475395</v>
      </c>
      <c r="E25" s="108" t="s">
        <v>234</v>
      </c>
      <c r="F25" s="26"/>
      <c r="G25" s="30"/>
    </row>
    <row r="26" spans="1:7" ht="24" customHeight="1" x14ac:dyDescent="0.25">
      <c r="A26" s="18"/>
      <c r="B26" s="61" t="s">
        <v>255</v>
      </c>
      <c r="C26" s="62"/>
      <c r="D26" s="63">
        <f>D20*D21*D22*D23</f>
        <v>6894.6339622641499</v>
      </c>
      <c r="E26" s="64" t="s">
        <v>235</v>
      </c>
      <c r="F26" s="19"/>
      <c r="G26" s="29"/>
    </row>
    <row r="27" spans="1:7" ht="24" customHeight="1" x14ac:dyDescent="0.25">
      <c r="A27" s="18"/>
      <c r="B27" s="61" t="s">
        <v>248</v>
      </c>
      <c r="C27" s="62"/>
      <c r="D27" s="64">
        <f>D25+D26</f>
        <v>15360.185399811689</v>
      </c>
      <c r="E27" s="64" t="s">
        <v>236</v>
      </c>
      <c r="F27" s="19"/>
      <c r="G27" s="29"/>
    </row>
    <row r="28" spans="1:7" ht="24" customHeight="1" x14ac:dyDescent="0.25">
      <c r="A28" s="18"/>
      <c r="B28" s="61" t="s">
        <v>249</v>
      </c>
      <c r="C28" s="62"/>
      <c r="D28" s="63">
        <f>D25/(365.25/14)</f>
        <v>324.48383333515551</v>
      </c>
      <c r="E28" s="64" t="s">
        <v>237</v>
      </c>
      <c r="F28" s="19"/>
      <c r="G28" s="29"/>
    </row>
    <row r="29" spans="1:7" ht="24" customHeight="1" x14ac:dyDescent="0.25">
      <c r="A29" s="18"/>
      <c r="B29" s="61" t="s">
        <v>250</v>
      </c>
      <c r="C29" s="112"/>
      <c r="D29" s="63">
        <f>D26/(365.25/14)</f>
        <v>264.2707062880167</v>
      </c>
      <c r="E29" s="64" t="s">
        <v>238</v>
      </c>
      <c r="F29" s="19"/>
      <c r="G29" s="29"/>
    </row>
    <row r="30" spans="1:7" ht="24" customHeight="1" x14ac:dyDescent="0.25">
      <c r="A30" s="18"/>
      <c r="B30" s="65" t="s">
        <v>251</v>
      </c>
      <c r="C30" s="66"/>
      <c r="D30" s="67">
        <f>D28+D29</f>
        <v>588.75453962317215</v>
      </c>
      <c r="E30" s="64" t="s">
        <v>247</v>
      </c>
      <c r="F30" s="19"/>
      <c r="G30" s="29"/>
    </row>
    <row r="31" spans="1:7" s="17" customFormat="1" ht="30" customHeight="1" x14ac:dyDescent="0.2">
      <c r="A31" s="27"/>
      <c r="B31" s="113" t="s">
        <v>239</v>
      </c>
      <c r="C31" s="113"/>
      <c r="D31" s="113"/>
      <c r="E31" s="113"/>
      <c r="F31" s="28"/>
    </row>
    <row r="39" spans="2:7" hidden="1" x14ac:dyDescent="0.2">
      <c r="B39" s="44" t="s">
        <v>18</v>
      </c>
      <c r="C39" s="6"/>
    </row>
    <row r="40" spans="2:7" ht="14.25" hidden="1" x14ac:dyDescent="0.2">
      <c r="B40" s="45" t="str">
        <f>"Micro Car $"&amp;TEXT(G40,"0.####")&amp;"/km"</f>
        <v>Micro Car $0.1295/km</v>
      </c>
      <c r="C40" s="14">
        <v>13</v>
      </c>
      <c r="F40" s="10">
        <v>1</v>
      </c>
      <c r="G40" s="11">
        <f>'MICRO CARS'!G3/100</f>
        <v>0.1295</v>
      </c>
    </row>
    <row r="41" spans="2:7" ht="14.25" hidden="1" x14ac:dyDescent="0.2">
      <c r="B41" s="45" t="str">
        <f>"Light Car $"&amp;TEXT(G41,"0.####")&amp;"/km"</f>
        <v>Light Car $0.1418/km</v>
      </c>
      <c r="C41" s="7"/>
      <c r="F41" s="4">
        <v>2</v>
      </c>
      <c r="G41" s="12">
        <f>'LIGHT CARS'!N3/100</f>
        <v>0.14177500000000001</v>
      </c>
    </row>
    <row r="42" spans="2:7" ht="14.25" hidden="1" x14ac:dyDescent="0.2">
      <c r="B42" s="45" t="str">
        <f>"Small Car $"&amp;TEXT(G42,"0.####")&amp;"/km"</f>
        <v>Small Car $0.1523/km</v>
      </c>
      <c r="C42" s="7"/>
      <c r="F42" s="4">
        <v>3</v>
      </c>
      <c r="G42" s="12">
        <f>'SMALL CARS'!S3/100</f>
        <v>0.15228823529411764</v>
      </c>
    </row>
    <row r="43" spans="2:7" ht="14.25" hidden="1" x14ac:dyDescent="0.2">
      <c r="B43" s="45" t="str">
        <f>"Medium Car $"&amp;TEXT(G43,"0.####")&amp;"/km"</f>
        <v>Medium Car $0.1641/km</v>
      </c>
      <c r="C43" s="7"/>
      <c r="F43" s="4">
        <v>4</v>
      </c>
      <c r="G43" s="12">
        <f>'MEDIUM CARS'!P3/100</f>
        <v>0.16411428571428568</v>
      </c>
    </row>
    <row r="44" spans="2:7" ht="14.25" hidden="1" x14ac:dyDescent="0.2">
      <c r="B44" s="45" t="str">
        <f>"Large Car $"&amp;TEXT(G44,"0.####")&amp;"/km"</f>
        <v>Large Car $0.1856/km</v>
      </c>
      <c r="C44" s="7"/>
      <c r="F44" s="4">
        <v>5</v>
      </c>
      <c r="G44" s="12">
        <f>'LARGE CARS'!H3/100</f>
        <v>0.18561666666666668</v>
      </c>
    </row>
    <row r="45" spans="2:7" ht="14.25" hidden="1" x14ac:dyDescent="0.2">
      <c r="B45" s="45" t="str">
        <f>"Sports Car $"&amp;TEXT(G45,"0.####")&amp;"/km"</f>
        <v>Sports Car $0.1981/km</v>
      </c>
      <c r="C45" s="7"/>
      <c r="F45" s="4">
        <v>6</v>
      </c>
      <c r="G45" s="12">
        <f>SPORTS!I3/100</f>
        <v>0.19812857142857143</v>
      </c>
    </row>
    <row r="46" spans="2:7" ht="14.25" hidden="1" x14ac:dyDescent="0.2">
      <c r="B46" s="45" t="str">
        <f>"People Mover $"&amp;TEXT(G46,"0.####")&amp;"/km"</f>
        <v>People Mover $0.1912/km</v>
      </c>
      <c r="C46" s="7"/>
      <c r="F46" s="4">
        <v>7</v>
      </c>
      <c r="G46" s="12">
        <f>'PEOPLE MOVERS'!F3/100</f>
        <v>0.19117499999999998</v>
      </c>
    </row>
    <row r="47" spans="2:7" ht="14.25" hidden="1" x14ac:dyDescent="0.2">
      <c r="B47" s="45" t="str">
        <f>"SUV - Small $"&amp;TEXT(G47,"0.####")&amp;"/km"</f>
        <v>SUV - Small $0.1629/km</v>
      </c>
      <c r="C47" s="7"/>
      <c r="F47" s="4">
        <v>8</v>
      </c>
      <c r="G47" s="12">
        <f>'SUV - SMALL'!O3/100</f>
        <v>0.16290000000000002</v>
      </c>
    </row>
    <row r="48" spans="2:7" ht="14.25" hidden="1" x14ac:dyDescent="0.2">
      <c r="B48" s="45" t="str">
        <f>"SUV - Medium $"&amp;TEXT(G48,"0.####")&amp;"/km"</f>
        <v>SUV - Medium $0.1883/km</v>
      </c>
      <c r="C48" s="7"/>
      <c r="F48" s="4">
        <v>9</v>
      </c>
      <c r="G48" s="12">
        <f>'SUV - MEDIUM'!U3/100</f>
        <v>0.18828421052631575</v>
      </c>
    </row>
    <row r="49" spans="2:7" ht="14.25" hidden="1" x14ac:dyDescent="0.2">
      <c r="B49" s="45" t="str">
        <f>"SUV - Large $"&amp;TEXT(G49,"0.####")&amp;"/km"</f>
        <v>SUV - Large $0.1946/km</v>
      </c>
      <c r="C49" s="7"/>
      <c r="F49" s="4">
        <v>10</v>
      </c>
      <c r="G49" s="12">
        <f>'SUV - LARGE'!K3/100</f>
        <v>0.19462222222222222</v>
      </c>
    </row>
    <row r="50" spans="2:7" ht="14.25" hidden="1" x14ac:dyDescent="0.2">
      <c r="B50" s="45" t="str">
        <f>"SUV - All Terrain $"&amp;TEXT(G50,"0.####")&amp;"/km"</f>
        <v>SUV - All Terrain $0.2181/km</v>
      </c>
      <c r="C50" s="7"/>
      <c r="F50" s="4">
        <v>11</v>
      </c>
      <c r="G50" s="12">
        <f>'SUV - ALL TERRAIN'!O3/100</f>
        <v>0.21813846153846153</v>
      </c>
    </row>
    <row r="51" spans="2:7" ht="14.25" hidden="1" x14ac:dyDescent="0.2">
      <c r="B51" s="45" t="str">
        <f>"2WD Ute $"&amp;TEXT(G51,"0.####")&amp;"/km"</f>
        <v>2WD Ute $0.1834/km</v>
      </c>
      <c r="C51" s="7"/>
      <c r="F51" s="4">
        <v>12</v>
      </c>
      <c r="G51" s="12">
        <f>'2WD UTES'!F3/100</f>
        <v>0.18340000000000001</v>
      </c>
    </row>
    <row r="52" spans="2:7" ht="14.25" hidden="1" x14ac:dyDescent="0.2">
      <c r="B52" s="45" t="str">
        <f>"4WD Ute $"&amp;TEXT(G52,"0.####")&amp;"/km"</f>
        <v>4WD Ute $0.1861/km</v>
      </c>
      <c r="C52" s="7"/>
      <c r="F52" s="4">
        <v>13</v>
      </c>
      <c r="G52" s="12">
        <f>'4WD UTES'!J3/100</f>
        <v>0.18606249999999999</v>
      </c>
    </row>
    <row r="53" spans="2:7" ht="14.25" hidden="1" x14ac:dyDescent="0.2">
      <c r="B53" s="46" t="str">
        <f>"Electric Car $"&amp;TEXT(G53,"0.####")&amp;"/km"</f>
        <v>Electric Car $0.146/km</v>
      </c>
      <c r="C53" s="8"/>
      <c r="F53" s="5">
        <v>14</v>
      </c>
      <c r="G53" s="13">
        <f>'ELECTRIC CARS'!F3/100</f>
        <v>0.14597499999999999</v>
      </c>
    </row>
    <row r="55" spans="2:7" ht="12" hidden="1" customHeight="1" x14ac:dyDescent="0.2">
      <c r="B55" s="10">
        <v>1</v>
      </c>
      <c r="C55" s="47">
        <f>'MICRO CARS'!B28</f>
        <v>23.607117901539333</v>
      </c>
      <c r="F55" s="10">
        <v>1</v>
      </c>
      <c r="G55" s="47">
        <f>'MICRO CARS'!B29</f>
        <v>7.1477351969924234E-4</v>
      </c>
    </row>
    <row r="56" spans="2:7" hidden="1" x14ac:dyDescent="0.2">
      <c r="B56" s="4">
        <v>2</v>
      </c>
      <c r="C56" s="48">
        <f>'LIGHT CARS'!B35</f>
        <v>25.307266248344259</v>
      </c>
      <c r="F56" s="4">
        <v>2</v>
      </c>
      <c r="G56" s="48">
        <f>'LIGHT CARS'!B36</f>
        <v>7.6147543375537695E-4</v>
      </c>
    </row>
    <row r="57" spans="2:7" hidden="1" x14ac:dyDescent="0.2">
      <c r="B57" s="4">
        <v>3</v>
      </c>
      <c r="C57" s="48">
        <f>'SMALL CARS'!B39</f>
        <v>28.281043759329442</v>
      </c>
      <c r="F57" s="4">
        <v>3</v>
      </c>
      <c r="G57" s="48">
        <f>'SMALL CARS'!B40</f>
        <v>5.8562167732917694E-4</v>
      </c>
    </row>
    <row r="58" spans="2:7" hidden="1" x14ac:dyDescent="0.2">
      <c r="B58" s="4">
        <v>4</v>
      </c>
      <c r="C58" s="48">
        <f>'MEDIUM CARS'!B37</f>
        <v>23.636118061438015</v>
      </c>
      <c r="F58" s="4">
        <v>4</v>
      </c>
      <c r="G58" s="48">
        <f>'MEDIUM CARS'!B38</f>
        <v>6.4481313430499621E-4</v>
      </c>
    </row>
    <row r="59" spans="2:7" hidden="1" x14ac:dyDescent="0.2">
      <c r="B59" s="4">
        <v>5</v>
      </c>
      <c r="C59" s="48">
        <f>'LARGE CARS'!B29</f>
        <v>23.909890303896383</v>
      </c>
      <c r="F59" s="4">
        <v>5</v>
      </c>
      <c r="G59" s="48">
        <f>'LARGE CARS'!B30</f>
        <v>5.6357943253036648E-4</v>
      </c>
    </row>
    <row r="60" spans="2:7" hidden="1" x14ac:dyDescent="0.2">
      <c r="B60" s="4">
        <v>6</v>
      </c>
      <c r="C60" s="48">
        <f>SPORTS!B30</f>
        <v>38.901973267887342</v>
      </c>
      <c r="F60" s="4">
        <v>6</v>
      </c>
      <c r="G60" s="48">
        <f>SPORTS!B31</f>
        <v>3.6788089627136827E-4</v>
      </c>
    </row>
    <row r="61" spans="2:7" hidden="1" x14ac:dyDescent="0.2">
      <c r="B61" s="4">
        <v>7</v>
      </c>
      <c r="C61" s="48">
        <f>'PEOPLE MOVERS'!B27</f>
        <v>20.02259420603108</v>
      </c>
      <c r="F61" s="4">
        <v>7</v>
      </c>
      <c r="G61" s="48">
        <f>'PEOPLE MOVERS'!B28</f>
        <v>6.8823088146012621E-4</v>
      </c>
    </row>
    <row r="62" spans="2:7" hidden="1" x14ac:dyDescent="0.2">
      <c r="B62" s="4">
        <v>8</v>
      </c>
      <c r="C62" s="48">
        <f>'SUV - SMALL'!B36</f>
        <v>24.041477167739526</v>
      </c>
      <c r="F62" s="4">
        <v>8</v>
      </c>
      <c r="G62" s="48">
        <f>'SUV - SMALL'!B37</f>
        <v>6.7959877965198577E-4</v>
      </c>
    </row>
    <row r="63" spans="2:7" hidden="1" x14ac:dyDescent="0.2">
      <c r="B63" s="4">
        <v>9</v>
      </c>
      <c r="C63" s="48">
        <f>'SUV - MEDIUM'!B39</f>
        <v>15.445454383582717</v>
      </c>
      <c r="F63" s="4">
        <v>9</v>
      </c>
      <c r="G63" s="48">
        <f>'SUV - MEDIUM'!B40</f>
        <v>7.7115613897040295E-4</v>
      </c>
    </row>
    <row r="64" spans="2:7" hidden="1" x14ac:dyDescent="0.2">
      <c r="B64" s="4">
        <v>10</v>
      </c>
      <c r="C64" s="48">
        <f>'SUV - LARGE'!B32</f>
        <v>20.02300872254775</v>
      </c>
      <c r="F64" s="4">
        <v>10</v>
      </c>
      <c r="G64" s="48">
        <f>'SUV - LARGE'!B33</f>
        <v>6.2465556037456294E-4</v>
      </c>
    </row>
    <row r="65" spans="2:7" hidden="1" x14ac:dyDescent="0.2">
      <c r="B65" s="4">
        <v>11</v>
      </c>
      <c r="C65" s="48">
        <f>'SUV - ALL TERRAIN'!B36</f>
        <v>12.649511452023837</v>
      </c>
      <c r="F65" s="4">
        <v>11</v>
      </c>
      <c r="G65" s="48">
        <f>'SUV - ALL TERRAIN'!B37</f>
        <v>6.9900243562063939E-4</v>
      </c>
    </row>
    <row r="66" spans="2:7" hidden="1" x14ac:dyDescent="0.2">
      <c r="B66" s="4">
        <v>12</v>
      </c>
      <c r="C66" s="48">
        <f>'2WD UTES'!B27</f>
        <v>8.3120263804067065</v>
      </c>
      <c r="F66" s="4">
        <v>12</v>
      </c>
      <c r="G66" s="48">
        <f>'2WD UTES'!B28</f>
        <v>1.0300006296039795E-3</v>
      </c>
    </row>
    <row r="67" spans="2:7" hidden="1" x14ac:dyDescent="0.2">
      <c r="B67" s="4">
        <v>13</v>
      </c>
      <c r="C67" s="48">
        <f>'4WD UTES'!B31</f>
        <v>8.1836766702098345</v>
      </c>
      <c r="F67" s="4">
        <v>13</v>
      </c>
      <c r="G67" s="48">
        <f>'4WD UTES'!B32</f>
        <v>9.2392816873763559E-4</v>
      </c>
    </row>
    <row r="68" spans="2:7" hidden="1" x14ac:dyDescent="0.2">
      <c r="B68" s="5">
        <v>14</v>
      </c>
      <c r="C68" s="49">
        <f>'ELECTRIC CARS'!B27</f>
        <v>-7.9554753803087976</v>
      </c>
      <c r="F68" s="5">
        <v>14</v>
      </c>
      <c r="G68" s="49">
        <f>'ELECTRIC CARS'!B28</f>
        <v>1.0191102398629077E-3</v>
      </c>
    </row>
    <row r="70" spans="2:7" hidden="1" x14ac:dyDescent="0.2">
      <c r="B70" s="10">
        <v>1</v>
      </c>
      <c r="C70" s="47">
        <f>'MICRO CARS'!B51</f>
        <v>13.56989566864468</v>
      </c>
      <c r="F70" s="10">
        <v>1</v>
      </c>
      <c r="G70" s="47">
        <f>'MICRO CARS'!B52</f>
        <v>1.4600588220603865E-3</v>
      </c>
    </row>
    <row r="71" spans="2:7" hidden="1" x14ac:dyDescent="0.2">
      <c r="B71" s="4">
        <v>2</v>
      </c>
      <c r="C71" s="48">
        <f>'LIGHT CARS'!B65</f>
        <v>5.6986576039350609</v>
      </c>
      <c r="F71" s="4">
        <v>2</v>
      </c>
      <c r="G71" s="48">
        <f>'LIGHT CARS'!B66</f>
        <v>2.0690851731737744E-3</v>
      </c>
    </row>
    <row r="72" spans="2:7" hidden="1" x14ac:dyDescent="0.2">
      <c r="B72" s="4">
        <v>3</v>
      </c>
      <c r="C72" s="48">
        <f>'SMALL CARS'!B73</f>
        <v>3.1630216508760043</v>
      </c>
      <c r="F72" s="4">
        <v>3</v>
      </c>
      <c r="G72" s="48">
        <f>'SMALL CARS'!B74</f>
        <v>2.1859665473806908E-3</v>
      </c>
    </row>
    <row r="73" spans="2:7" hidden="1" x14ac:dyDescent="0.2">
      <c r="B73" s="4">
        <v>4</v>
      </c>
      <c r="C73" s="48">
        <f>'MEDIUM CARS'!B69</f>
        <v>25.190735390689269</v>
      </c>
      <c r="F73" s="4">
        <v>4</v>
      </c>
      <c r="G73" s="48">
        <f>'MEDIUM CARS'!B70</f>
        <v>1.7910822686300375E-3</v>
      </c>
    </row>
    <row r="74" spans="2:7" hidden="1" x14ac:dyDescent="0.2">
      <c r="B74" s="4">
        <v>5</v>
      </c>
      <c r="C74" s="48">
        <f>'LARGE CARS'!B53</f>
        <v>30.739964511495145</v>
      </c>
      <c r="F74" s="4">
        <v>5</v>
      </c>
      <c r="G74" s="48">
        <f>'LARGE CARS'!B54</f>
        <v>2.0352871174952312E-3</v>
      </c>
    </row>
    <row r="75" spans="2:7" hidden="1" x14ac:dyDescent="0.2">
      <c r="B75" s="4">
        <v>6</v>
      </c>
      <c r="C75" s="48">
        <f>SPORTS!B55</f>
        <v>14.846764369270844</v>
      </c>
      <c r="F75" s="4">
        <v>6</v>
      </c>
      <c r="G75" s="48">
        <f>SPORTS!B56</f>
        <v>1.8605651566161571E-3</v>
      </c>
    </row>
    <row r="76" spans="2:7" hidden="1" x14ac:dyDescent="0.2">
      <c r="B76" s="4">
        <v>7</v>
      </c>
      <c r="C76" s="48">
        <f>'PEOPLE MOVERS'!B49</f>
        <v>-25.566663684071671</v>
      </c>
      <c r="F76" s="4">
        <v>7</v>
      </c>
      <c r="G76" s="48">
        <f>'PEOPLE MOVERS'!B50</f>
        <v>3.0442414725860845E-3</v>
      </c>
    </row>
    <row r="77" spans="2:7" hidden="1" x14ac:dyDescent="0.2">
      <c r="B77" s="4">
        <v>8</v>
      </c>
      <c r="C77" s="48">
        <f>'SUV - SMALL'!B67</f>
        <v>12.463218966787238</v>
      </c>
      <c r="F77" s="4">
        <v>8</v>
      </c>
      <c r="G77" s="48">
        <f>'SUV - SMALL'!B68</f>
        <v>1.9495235069910688E-3</v>
      </c>
    </row>
    <row r="78" spans="2:7" hidden="1" x14ac:dyDescent="0.2">
      <c r="B78" s="4">
        <v>9</v>
      </c>
      <c r="C78" s="48">
        <f>'SUV - MEDIUM'!B73</f>
        <v>10.905286554502652</v>
      </c>
      <c r="F78" s="4">
        <v>9</v>
      </c>
      <c r="G78" s="48">
        <f>'SUV - MEDIUM'!B74</f>
        <v>2.005302238456685E-3</v>
      </c>
    </row>
    <row r="79" spans="2:7" hidden="1" x14ac:dyDescent="0.2">
      <c r="B79" s="4">
        <v>10</v>
      </c>
      <c r="C79" s="48">
        <f>'SUV - LARGE'!B59</f>
        <v>29.407773719971118</v>
      </c>
      <c r="F79" s="4">
        <v>10</v>
      </c>
      <c r="G79" s="48">
        <f>'SUV - LARGE'!B60</f>
        <v>1.5827608048870811E-3</v>
      </c>
    </row>
    <row r="80" spans="2:7" hidden="1" x14ac:dyDescent="0.2">
      <c r="B80" s="4">
        <v>11</v>
      </c>
      <c r="C80" s="48">
        <f>'SUV - ALL TERRAIN'!B67</f>
        <v>65.544331326116776</v>
      </c>
      <c r="F80" s="4">
        <v>11</v>
      </c>
      <c r="G80" s="48">
        <f>'SUV - ALL TERRAIN'!B68</f>
        <v>9.8051847128368687E-4</v>
      </c>
    </row>
    <row r="81" spans="2:7" hidden="1" x14ac:dyDescent="0.2">
      <c r="B81" s="4">
        <v>12</v>
      </c>
      <c r="C81" s="48">
        <f>'2WD UTES'!B49</f>
        <v>26.456016243782656</v>
      </c>
      <c r="F81" s="4">
        <v>12</v>
      </c>
      <c r="G81" s="48">
        <f>'2WD UTES'!B50</f>
        <v>1.6647736573695145E-3</v>
      </c>
    </row>
    <row r="82" spans="2:7" hidden="1" x14ac:dyDescent="0.2">
      <c r="B82" s="4">
        <v>13</v>
      </c>
      <c r="C82" s="48">
        <f>'4WD UTES'!B57</f>
        <v>43.315218139787177</v>
      </c>
      <c r="F82" s="4">
        <v>13</v>
      </c>
      <c r="G82" s="48">
        <f>'4WD UTES'!B58</f>
        <v>1.3682508027878628E-3</v>
      </c>
    </row>
    <row r="83" spans="2:7" hidden="1" x14ac:dyDescent="0.2">
      <c r="B83" s="5">
        <v>14</v>
      </c>
      <c r="C83" s="49">
        <f>'ELECTRIC CARS'!B49</f>
        <v>22.898939720678328</v>
      </c>
      <c r="F83" s="5">
        <v>14</v>
      </c>
      <c r="G83" s="49">
        <f>'ELECTRIC CARS'!B50</f>
        <v>2.0314471530295266E-3</v>
      </c>
    </row>
  </sheetData>
  <mergeCells count="6">
    <mergeCell ref="B31:E31"/>
    <mergeCell ref="B11:C11"/>
    <mergeCell ref="A1:F1"/>
    <mergeCell ref="A2:F2"/>
    <mergeCell ref="C3:E3"/>
    <mergeCell ref="C4:E4"/>
  </mergeCells>
  <phoneticPr fontId="1" type="noConversion"/>
  <hyperlinks>
    <hyperlink ref="B31" r:id="rId1" display="Refer to Executive Employment Handbook (Appendix J) for more details on executive vehicle cost to package &amp; definitions" xr:uid="{00000000-0004-0000-0000-000000000000}"/>
    <hyperlink ref="B31:E31" r:id="rId2" display="For additional information on executive vehicle cost to package &amp; definitions, click here to download the Executive Employment Handbook" xr:uid="{00000000-0004-0000-0000-000001000000}"/>
  </hyperlinks>
  <pageMargins left="0.78740157480314965" right="0.78740157480314965" top="0.98425196850393704" bottom="0.98425196850393704" header="0.51181102362204722" footer="0.51181102362204722"/>
  <pageSetup paperSize="9" scale="56" fitToHeight="0" orientation="portrait" r:id="rId3"/>
  <headerFooter alignWithMargins="0">
    <oddFooter>&amp;L&amp;"arial,Bold"&amp;10&amp;K3F3F3FUnclassified_x000D_&amp;1#&amp;"Calibri"&amp;11&amp;K000000 OFFICIAL&amp;C&amp;D &amp;T&amp;L&amp;"arial,Bold"&amp;10&amp;K3F3F3FUnclassified</oddFooter>
    <evenFooter>&amp;C&amp;D &amp;T&amp;L&amp;"arial,Bold"&amp;10&amp;K3F3F3FUnclassified</evenFooter>
    <firstFooter>&amp;C&amp;D &amp;T&amp;L&amp;"arial,Bold"&amp;10&amp;K3F3F3FUnclassified</firstFooter>
  </headerFooter>
  <ignoredErrors>
    <ignoredError sqref="D13" unlockedFormula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6" name="Drop Down 8">
              <controlPr locked="0" defaultSize="0" autoLine="0" autoPict="0">
                <anchor moveWithCells="1">
                  <from>
                    <xdr:col>3</xdr:col>
                    <xdr:colOff>9525</xdr:colOff>
                    <xdr:row>15</xdr:row>
                    <xdr:rowOff>9525</xdr:rowOff>
                  </from>
                  <to>
                    <xdr:col>3</xdr:col>
                    <xdr:colOff>3800475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0"/>
  <sheetViews>
    <sheetView workbookViewId="0"/>
  </sheetViews>
  <sheetFormatPr defaultRowHeight="12.75" x14ac:dyDescent="0.2"/>
  <cols>
    <col min="1" max="1" width="21.42578125" bestFit="1" customWidth="1"/>
  </cols>
  <sheetData>
    <row r="1" spans="1:6" ht="127.5" x14ac:dyDescent="0.2">
      <c r="A1" s="40" t="s">
        <v>131</v>
      </c>
      <c r="B1" s="39" t="s">
        <v>132</v>
      </c>
      <c r="C1" s="39" t="s">
        <v>133</v>
      </c>
      <c r="D1" s="39" t="s">
        <v>134</v>
      </c>
      <c r="E1" s="39" t="s">
        <v>135</v>
      </c>
      <c r="F1" s="39" t="s">
        <v>70</v>
      </c>
    </row>
    <row r="2" spans="1:6" x14ac:dyDescent="0.2">
      <c r="A2" t="s">
        <v>34</v>
      </c>
      <c r="B2">
        <v>37610</v>
      </c>
      <c r="C2">
        <v>40790</v>
      </c>
      <c r="D2">
        <v>41490</v>
      </c>
      <c r="E2">
        <v>45490</v>
      </c>
    </row>
    <row r="3" spans="1:6" x14ac:dyDescent="0.2">
      <c r="A3" t="s">
        <v>32</v>
      </c>
      <c r="B3" s="1">
        <v>18.02</v>
      </c>
      <c r="C3" s="1">
        <v>17.18</v>
      </c>
      <c r="D3" s="1">
        <v>21.54</v>
      </c>
      <c r="E3" s="1">
        <v>19.73</v>
      </c>
      <c r="F3" s="1">
        <f>AVERAGE(B3:E3)</f>
        <v>19.1175</v>
      </c>
    </row>
    <row r="4" spans="1:6" x14ac:dyDescent="0.2">
      <c r="A4" t="s">
        <v>33</v>
      </c>
      <c r="B4" s="1">
        <f>47.3</f>
        <v>47.3</v>
      </c>
      <c r="C4" s="1">
        <f>45.63</f>
        <v>45.63</v>
      </c>
      <c r="D4" s="1">
        <f>48.73</f>
        <v>48.73</v>
      </c>
      <c r="E4" s="1">
        <f>52.25</f>
        <v>52.25</v>
      </c>
    </row>
    <row r="5" spans="1:6" x14ac:dyDescent="0.2">
      <c r="A5" s="40" t="s">
        <v>252</v>
      </c>
      <c r="B5">
        <v>88.96</v>
      </c>
      <c r="C5">
        <v>98.05</v>
      </c>
      <c r="D5">
        <v>101.33</v>
      </c>
      <c r="E5">
        <v>112.85</v>
      </c>
    </row>
    <row r="6" spans="1:6" x14ac:dyDescent="0.2">
      <c r="A6" s="38"/>
    </row>
    <row r="8" spans="1:6" x14ac:dyDescent="0.2">
      <c r="A8" s="38" t="s">
        <v>68</v>
      </c>
    </row>
    <row r="9" spans="1:6" ht="13.5" thickBot="1" x14ac:dyDescent="0.25"/>
    <row r="10" spans="1:6" x14ac:dyDescent="0.2">
      <c r="A10" s="37" t="s">
        <v>35</v>
      </c>
      <c r="B10" s="37"/>
    </row>
    <row r="11" spans="1:6" x14ac:dyDescent="0.2">
      <c r="A11" s="34" t="s">
        <v>36</v>
      </c>
      <c r="B11" s="34">
        <v>0.79143609744167964</v>
      </c>
    </row>
    <row r="12" spans="1:6" x14ac:dyDescent="0.2">
      <c r="A12" s="34" t="s">
        <v>37</v>
      </c>
      <c r="B12" s="34">
        <v>0.6263710963337159</v>
      </c>
    </row>
    <row r="13" spans="1:6" x14ac:dyDescent="0.2">
      <c r="A13" s="34" t="s">
        <v>38</v>
      </c>
      <c r="B13" s="34">
        <v>-2</v>
      </c>
    </row>
    <row r="14" spans="1:6" x14ac:dyDescent="0.2">
      <c r="A14" s="34" t="s">
        <v>39</v>
      </c>
      <c r="B14" s="34">
        <v>2.1081667825588903</v>
      </c>
    </row>
    <row r="15" spans="1:6" ht="13.5" thickBot="1" x14ac:dyDescent="0.25">
      <c r="A15" s="35" t="s">
        <v>40</v>
      </c>
      <c r="B15" s="35">
        <v>1</v>
      </c>
    </row>
    <row r="17" spans="1:10" ht="13.5" thickBot="1" x14ac:dyDescent="0.25">
      <c r="A17" t="s">
        <v>41</v>
      </c>
    </row>
    <row r="18" spans="1:10" x14ac:dyDescent="0.2">
      <c r="A18" s="36"/>
      <c r="B18" s="36" t="s">
        <v>44</v>
      </c>
      <c r="C18" s="36" t="s">
        <v>45</v>
      </c>
      <c r="D18" s="36" t="s">
        <v>46</v>
      </c>
      <c r="E18" s="36" t="s">
        <v>47</v>
      </c>
      <c r="F18" s="36" t="s">
        <v>48</v>
      </c>
    </row>
    <row r="19" spans="1:10" x14ac:dyDescent="0.2">
      <c r="A19" s="34" t="s">
        <v>42</v>
      </c>
      <c r="B19" s="34">
        <v>4</v>
      </c>
      <c r="C19" s="34">
        <v>14.901540633830589</v>
      </c>
      <c r="D19" s="34">
        <v>3.7253851584576472</v>
      </c>
      <c r="E19" s="34">
        <v>3.3529049288605073</v>
      </c>
      <c r="F19" s="34" t="e">
        <v>#NUM!</v>
      </c>
    </row>
    <row r="20" spans="1:10" x14ac:dyDescent="0.2">
      <c r="A20" s="34" t="s">
        <v>16</v>
      </c>
      <c r="B20" s="34">
        <v>2</v>
      </c>
      <c r="C20" s="34">
        <v>8.8887343661694054</v>
      </c>
      <c r="D20" s="34">
        <v>4.4443671830847027</v>
      </c>
      <c r="E20" s="34"/>
      <c r="F20" s="34"/>
    </row>
    <row r="21" spans="1:10" ht="13.5" thickBot="1" x14ac:dyDescent="0.25">
      <c r="A21" s="35" t="s">
        <v>0</v>
      </c>
      <c r="B21" s="35">
        <v>6</v>
      </c>
      <c r="C21" s="35">
        <v>23.790274999999994</v>
      </c>
      <c r="D21" s="35"/>
      <c r="E21" s="35"/>
      <c r="F21" s="35"/>
    </row>
    <row r="22" spans="1:10" ht="13.5" thickBot="1" x14ac:dyDescent="0.25"/>
    <row r="23" spans="1:10" x14ac:dyDescent="0.2">
      <c r="A23" s="36"/>
      <c r="B23" s="36" t="s">
        <v>49</v>
      </c>
      <c r="C23" s="36" t="s">
        <v>39</v>
      </c>
      <c r="D23" s="36" t="s">
        <v>50</v>
      </c>
      <c r="E23" s="36" t="s">
        <v>51</v>
      </c>
      <c r="F23" s="36" t="s">
        <v>52</v>
      </c>
      <c r="G23" s="36" t="s">
        <v>53</v>
      </c>
      <c r="H23" s="36" t="s">
        <v>54</v>
      </c>
      <c r="I23" s="36" t="s">
        <v>55</v>
      </c>
    </row>
    <row r="24" spans="1:10" x14ac:dyDescent="0.2">
      <c r="A24" s="34" t="s">
        <v>43</v>
      </c>
      <c r="B24" s="34">
        <v>0.6263710963337159</v>
      </c>
      <c r="C24" s="34">
        <v>3.3529049288605073</v>
      </c>
      <c r="D24" s="34">
        <v>0.18681445183314208</v>
      </c>
      <c r="E24" s="34">
        <v>0.86903990770006678</v>
      </c>
      <c r="F24" s="34">
        <v>-13.800014448418377</v>
      </c>
      <c r="G24" s="34">
        <v>15.052756641085807</v>
      </c>
      <c r="H24" s="34">
        <v>-13.800014448418377</v>
      </c>
      <c r="I24" s="34">
        <v>15.052756641085807</v>
      </c>
    </row>
    <row r="25" spans="1:10" x14ac:dyDescent="0.2">
      <c r="A25" s="34" t="s">
        <v>56</v>
      </c>
      <c r="B25" s="34">
        <v>15.575548382290178</v>
      </c>
      <c r="C25" s="34">
        <v>2.1081667825588903</v>
      </c>
      <c r="D25" s="34">
        <v>7.3881955218858897</v>
      </c>
      <c r="E25" s="34">
        <v>1.783137170914503E-2</v>
      </c>
      <c r="F25" s="34">
        <v>6.5048388205460235</v>
      </c>
      <c r="G25" s="34">
        <v>24.646257944034332</v>
      </c>
      <c r="H25" s="34">
        <v>6.5048388205460235</v>
      </c>
      <c r="I25" s="34">
        <v>24.646257944034332</v>
      </c>
    </row>
    <row r="26" spans="1:10" x14ac:dyDescent="0.2">
      <c r="A26" s="34" t="s">
        <v>57</v>
      </c>
      <c r="B26" s="34">
        <v>3.7585777304074817E-4</v>
      </c>
      <c r="C26" s="34">
        <v>0.6263710963337159</v>
      </c>
      <c r="D26" s="34">
        <v>6.0005606139990205E-4</v>
      </c>
      <c r="E26" s="34">
        <v>0.99957569632805843</v>
      </c>
      <c r="F26" s="34">
        <v>-2.6946814497033862</v>
      </c>
      <c r="G26" s="34">
        <v>2.6954331652494674</v>
      </c>
      <c r="H26" s="34">
        <v>-2.6946814497033862</v>
      </c>
      <c r="I26" s="34">
        <v>2.6954331652494674</v>
      </c>
    </row>
    <row r="27" spans="1:10" x14ac:dyDescent="0.2">
      <c r="A27" s="34" t="s">
        <v>58</v>
      </c>
      <c r="B27" s="41">
        <v>20.02259420603108</v>
      </c>
      <c r="C27" s="34">
        <v>15.575548382290178</v>
      </c>
      <c r="D27" s="34">
        <v>1.2855145587552677</v>
      </c>
      <c r="E27" s="34">
        <v>0.32736563378271533</v>
      </c>
      <c r="F27" s="34">
        <v>-46.993581558374593</v>
      </c>
      <c r="G27" s="34">
        <v>87.038769970436761</v>
      </c>
      <c r="H27" s="34">
        <v>-46.993581558374593</v>
      </c>
      <c r="I27" s="34">
        <v>87.038769970436761</v>
      </c>
      <c r="J27" s="43" t="s">
        <v>71</v>
      </c>
    </row>
    <row r="28" spans="1:10" ht="13.5" thickBot="1" x14ac:dyDescent="0.25">
      <c r="A28" s="35" t="s">
        <v>59</v>
      </c>
      <c r="B28" s="42">
        <v>6.8823088146012621E-4</v>
      </c>
      <c r="C28" s="35">
        <v>3.7585777304074817E-4</v>
      </c>
      <c r="D28" s="35">
        <v>1.8310939159039621</v>
      </c>
      <c r="E28" s="35">
        <v>0.20856390255832036</v>
      </c>
      <c r="F28" s="35">
        <v>-9.2895459171120332E-4</v>
      </c>
      <c r="G28" s="35">
        <v>2.3054163546314555E-3</v>
      </c>
      <c r="H28" s="35">
        <v>-9.2895459171120332E-4</v>
      </c>
      <c r="I28" s="35">
        <v>2.3054163546314555E-3</v>
      </c>
      <c r="J28" s="43" t="s">
        <v>72</v>
      </c>
    </row>
    <row r="30" spans="1:10" x14ac:dyDescent="0.2">
      <c r="A30" s="38" t="s">
        <v>253</v>
      </c>
    </row>
    <row r="31" spans="1:10" ht="13.5" thickBot="1" x14ac:dyDescent="0.25"/>
    <row r="32" spans="1:10" x14ac:dyDescent="0.2">
      <c r="A32" s="37" t="s">
        <v>35</v>
      </c>
      <c r="B32" s="37"/>
    </row>
    <row r="33" spans="1:9" x14ac:dyDescent="0.2">
      <c r="A33" s="34" t="s">
        <v>36</v>
      </c>
      <c r="B33" s="34">
        <v>0.9988596363087906</v>
      </c>
    </row>
    <row r="34" spans="1:9" x14ac:dyDescent="0.2">
      <c r="A34" s="34" t="s">
        <v>37</v>
      </c>
      <c r="B34" s="34">
        <v>0.9977205730469294</v>
      </c>
    </row>
    <row r="35" spans="1:9" x14ac:dyDescent="0.2">
      <c r="A35" s="34" t="s">
        <v>38</v>
      </c>
      <c r="B35" s="34">
        <v>-2</v>
      </c>
    </row>
    <row r="36" spans="1:9" x14ac:dyDescent="0.2">
      <c r="A36" s="34" t="s">
        <v>39</v>
      </c>
      <c r="B36" s="34">
        <v>0.57710376293222188</v>
      </c>
    </row>
    <row r="37" spans="1:9" ht="13.5" thickBot="1" x14ac:dyDescent="0.25">
      <c r="A37" s="35" t="s">
        <v>40</v>
      </c>
      <c r="B37" s="35">
        <v>1</v>
      </c>
    </row>
    <row r="39" spans="1:9" ht="13.5" thickBot="1" x14ac:dyDescent="0.25">
      <c r="A39" t="s">
        <v>41</v>
      </c>
    </row>
    <row r="40" spans="1:9" x14ac:dyDescent="0.2">
      <c r="A40" s="36"/>
      <c r="B40" s="36" t="s">
        <v>44</v>
      </c>
      <c r="C40" s="36" t="s">
        <v>45</v>
      </c>
      <c r="D40" s="36" t="s">
        <v>46</v>
      </c>
      <c r="E40" s="36" t="s">
        <v>47</v>
      </c>
      <c r="F40" s="36" t="s">
        <v>48</v>
      </c>
    </row>
    <row r="41" spans="1:9" x14ac:dyDescent="0.2">
      <c r="A41" s="34" t="s">
        <v>42</v>
      </c>
      <c r="B41" s="34">
        <v>4</v>
      </c>
      <c r="C41" s="34">
        <v>291.55537749361895</v>
      </c>
      <c r="D41" s="34">
        <v>72.888844373404737</v>
      </c>
      <c r="E41" s="34">
        <v>875.41350838454048</v>
      </c>
      <c r="F41" s="34" t="e">
        <v>#NUM!</v>
      </c>
    </row>
    <row r="42" spans="1:9" x14ac:dyDescent="0.2">
      <c r="A42" s="34" t="s">
        <v>16</v>
      </c>
      <c r="B42" s="34">
        <v>2</v>
      </c>
      <c r="C42" s="34">
        <v>0.66609750638106036</v>
      </c>
      <c r="D42" s="34">
        <v>0.33304875319053018</v>
      </c>
      <c r="E42" s="34"/>
      <c r="F42" s="34"/>
    </row>
    <row r="43" spans="1:9" ht="13.5" thickBot="1" x14ac:dyDescent="0.25">
      <c r="A43" s="35" t="s">
        <v>0</v>
      </c>
      <c r="B43" s="35">
        <v>6</v>
      </c>
      <c r="C43" s="35">
        <v>292.221475</v>
      </c>
      <c r="D43" s="35"/>
      <c r="E43" s="35"/>
      <c r="F43" s="35"/>
    </row>
    <row r="44" spans="1:9" ht="13.5" thickBot="1" x14ac:dyDescent="0.25"/>
    <row r="45" spans="1:9" x14ac:dyDescent="0.2">
      <c r="A45" s="36"/>
      <c r="B45" s="36" t="s">
        <v>49</v>
      </c>
      <c r="C45" s="36" t="s">
        <v>39</v>
      </c>
      <c r="D45" s="36" t="s">
        <v>50</v>
      </c>
      <c r="E45" s="36" t="s">
        <v>51</v>
      </c>
      <c r="F45" s="36" t="s">
        <v>52</v>
      </c>
      <c r="G45" s="36" t="s">
        <v>53</v>
      </c>
      <c r="H45" s="36" t="s">
        <v>54</v>
      </c>
      <c r="I45" s="36" t="s">
        <v>55</v>
      </c>
    </row>
    <row r="46" spans="1:9" x14ac:dyDescent="0.2">
      <c r="A46" s="34" t="s">
        <v>43</v>
      </c>
      <c r="B46" s="34"/>
      <c r="C46" s="34"/>
      <c r="D46" s="34"/>
      <c r="E46" s="34"/>
      <c r="F46" s="34"/>
      <c r="G46" s="34"/>
      <c r="H46" s="34">
        <v>0.9977205730469294</v>
      </c>
      <c r="I46" s="34">
        <v>0.9977205730469294</v>
      </c>
    </row>
    <row r="47" spans="1:9" x14ac:dyDescent="0.2">
      <c r="A47" s="34" t="s">
        <v>56</v>
      </c>
      <c r="B47" s="34">
        <v>4.2637554369593378</v>
      </c>
      <c r="C47" s="34">
        <v>0.57710376293222188</v>
      </c>
      <c r="D47" s="34">
        <v>7.3881955218858897</v>
      </c>
      <c r="E47" s="34">
        <v>1.783137170914503E-2</v>
      </c>
      <c r="F47" s="34">
        <v>1.7806783560303261</v>
      </c>
      <c r="G47" s="34">
        <v>6.7468325178883495</v>
      </c>
      <c r="H47" s="34">
        <v>1.7806783560303261</v>
      </c>
      <c r="I47" s="34">
        <v>6.7468325178883495</v>
      </c>
    </row>
    <row r="48" spans="1:9" x14ac:dyDescent="0.2">
      <c r="A48" s="34" t="s">
        <v>57</v>
      </c>
      <c r="B48" s="34">
        <v>1.0288983629931642E-4</v>
      </c>
      <c r="C48" s="34">
        <v>0.9977205730469294</v>
      </c>
      <c r="D48" s="34">
        <v>1.0312490198042336E-4</v>
      </c>
      <c r="E48" s="34">
        <v>0.99992707968208849</v>
      </c>
      <c r="F48" s="34">
        <v>-4.2927422573112715</v>
      </c>
      <c r="G48" s="34">
        <v>4.2929480369838693</v>
      </c>
      <c r="H48" s="34">
        <v>-4.2927422573112715</v>
      </c>
      <c r="I48" s="34">
        <v>4.2929480369838693</v>
      </c>
    </row>
    <row r="49" spans="1:10" x14ac:dyDescent="0.2">
      <c r="A49" s="34" t="s">
        <v>58</v>
      </c>
      <c r="B49" s="41">
        <v>-25.566663684071671</v>
      </c>
      <c r="C49" s="34">
        <v>4.2637554369593378</v>
      </c>
      <c r="D49" s="34">
        <v>-5.9962781782588186</v>
      </c>
      <c r="E49" s="34">
        <v>2.6703278048461586E-2</v>
      </c>
      <c r="F49" s="34">
        <v>-43.912122653888886</v>
      </c>
      <c r="G49" s="34">
        <v>-7.2212047142544584</v>
      </c>
      <c r="H49" s="34">
        <v>-43.912122653888886</v>
      </c>
      <c r="I49" s="34">
        <v>-7.2212047142544584</v>
      </c>
      <c r="J49" s="43" t="s">
        <v>71</v>
      </c>
    </row>
    <row r="50" spans="1:10" ht="13.5" thickBot="1" x14ac:dyDescent="0.25">
      <c r="A50" s="35" t="s">
        <v>59</v>
      </c>
      <c r="B50" s="42">
        <v>3.0442414725860845E-3</v>
      </c>
      <c r="C50" s="35">
        <v>1.0288983629931642E-4</v>
      </c>
      <c r="D50" s="35">
        <v>29.587387657320143</v>
      </c>
      <c r="E50" s="35">
        <v>1.1403636912094384E-3</v>
      </c>
      <c r="F50" s="35">
        <v>2.6015422375693553E-3</v>
      </c>
      <c r="G50" s="35">
        <v>3.4869407076028136E-3</v>
      </c>
      <c r="H50" s="35">
        <v>2.6015422375693553E-3</v>
      </c>
      <c r="I50" s="35">
        <v>3.4869407076028136E-3</v>
      </c>
      <c r="J50" s="43" t="s">
        <v>72</v>
      </c>
    </row>
  </sheetData>
  <pageMargins left="0.7" right="0.7" top="0.75" bottom="0.75" header="0.3" footer="0.3"/>
  <pageSetup paperSize="9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68"/>
  <sheetViews>
    <sheetView workbookViewId="0">
      <selection activeCell="C74" sqref="C74"/>
    </sheetView>
  </sheetViews>
  <sheetFormatPr defaultRowHeight="12.75" x14ac:dyDescent="0.2"/>
  <cols>
    <col min="1" max="1" width="21.42578125" bestFit="1" customWidth="1"/>
  </cols>
  <sheetData>
    <row r="1" spans="1:15" ht="153" x14ac:dyDescent="0.2">
      <c r="A1" s="40" t="s">
        <v>170</v>
      </c>
      <c r="B1" s="39" t="s">
        <v>136</v>
      </c>
      <c r="C1" s="39" t="s">
        <v>137</v>
      </c>
      <c r="D1" s="39" t="s">
        <v>138</v>
      </c>
      <c r="E1" s="39" t="s">
        <v>139</v>
      </c>
      <c r="F1" s="39" t="s">
        <v>143</v>
      </c>
      <c r="G1" s="39" t="s">
        <v>140</v>
      </c>
      <c r="H1" s="39" t="s">
        <v>141</v>
      </c>
      <c r="I1" s="39" t="s">
        <v>142</v>
      </c>
      <c r="J1" s="39" t="s">
        <v>144</v>
      </c>
      <c r="K1" s="39" t="s">
        <v>145</v>
      </c>
      <c r="L1" s="39" t="s">
        <v>146</v>
      </c>
      <c r="M1" s="39" t="s">
        <v>147</v>
      </c>
      <c r="N1" s="39" t="s">
        <v>148</v>
      </c>
      <c r="O1" s="39" t="s">
        <v>70</v>
      </c>
    </row>
    <row r="2" spans="1:15" x14ac:dyDescent="0.2">
      <c r="A2" t="s">
        <v>34</v>
      </c>
      <c r="B2">
        <v>23990</v>
      </c>
      <c r="C2">
        <v>22790</v>
      </c>
      <c r="D2">
        <v>24890</v>
      </c>
      <c r="E2">
        <v>27290</v>
      </c>
      <c r="F2">
        <v>24990</v>
      </c>
      <c r="G2">
        <v>27000</v>
      </c>
      <c r="H2">
        <v>26490</v>
      </c>
      <c r="I2">
        <v>28490</v>
      </c>
      <c r="J2">
        <v>29240</v>
      </c>
      <c r="K2">
        <v>32500</v>
      </c>
      <c r="L2">
        <v>42900</v>
      </c>
      <c r="M2">
        <v>43600</v>
      </c>
      <c r="N2">
        <v>51600</v>
      </c>
    </row>
    <row r="3" spans="1:15" x14ac:dyDescent="0.2">
      <c r="A3" t="s">
        <v>32</v>
      </c>
      <c r="B3" s="1">
        <v>14.6</v>
      </c>
      <c r="C3" s="1">
        <v>13.24</v>
      </c>
      <c r="D3" s="1">
        <v>15.14</v>
      </c>
      <c r="E3" s="1">
        <v>13.96</v>
      </c>
      <c r="F3" s="1">
        <v>14.72</v>
      </c>
      <c r="G3" s="1">
        <v>16.739999999999998</v>
      </c>
      <c r="H3" s="1">
        <v>16.190000000000001</v>
      </c>
      <c r="I3" s="1">
        <v>15.65</v>
      </c>
      <c r="J3" s="1">
        <v>19.18</v>
      </c>
      <c r="K3" s="1">
        <v>15.92</v>
      </c>
      <c r="L3" s="1">
        <v>17.64</v>
      </c>
      <c r="M3" s="1">
        <v>19.899999999999999</v>
      </c>
      <c r="N3" s="1">
        <v>18.89</v>
      </c>
      <c r="O3" s="1">
        <f>AVERAGE(B3:N3)</f>
        <v>16.290000000000003</v>
      </c>
    </row>
    <row r="4" spans="1:15" x14ac:dyDescent="0.2">
      <c r="A4" t="s">
        <v>33</v>
      </c>
      <c r="B4" s="1">
        <f>33.33</f>
        <v>33.33</v>
      </c>
      <c r="C4" s="1">
        <f>43.31</f>
        <v>43.31</v>
      </c>
      <c r="D4" s="1">
        <f>41.75</f>
        <v>41.75</v>
      </c>
      <c r="E4" s="1">
        <f>43.18</f>
        <v>43.18</v>
      </c>
      <c r="F4" s="1">
        <f>45.75</f>
        <v>45.75</v>
      </c>
      <c r="G4" s="1">
        <f>38.34</f>
        <v>38.340000000000003</v>
      </c>
      <c r="H4" s="1">
        <f>43.64</f>
        <v>43.64</v>
      </c>
      <c r="I4" s="1">
        <f>43.37</f>
        <v>43.37</v>
      </c>
      <c r="J4" s="1">
        <f>44.42</f>
        <v>44.42</v>
      </c>
      <c r="K4" s="1">
        <f>44.62</f>
        <v>44.62</v>
      </c>
      <c r="L4" s="1">
        <f>53.94</f>
        <v>53.94</v>
      </c>
      <c r="M4" s="1">
        <f>53.02</f>
        <v>53.02</v>
      </c>
      <c r="N4" s="1">
        <f>59.63</f>
        <v>59.63</v>
      </c>
    </row>
    <row r="5" spans="1:15" x14ac:dyDescent="0.2">
      <c r="A5" s="40" t="s">
        <v>252</v>
      </c>
      <c r="B5">
        <v>58.59</v>
      </c>
      <c r="C5">
        <v>60.04</v>
      </c>
      <c r="D5">
        <v>57.44</v>
      </c>
      <c r="E5">
        <v>62.98</v>
      </c>
      <c r="F5">
        <v>61.03</v>
      </c>
      <c r="G5">
        <v>66.98</v>
      </c>
      <c r="H5">
        <v>65.72</v>
      </c>
      <c r="I5">
        <v>68.489999999999995</v>
      </c>
      <c r="J5">
        <v>66.349999999999994</v>
      </c>
      <c r="K5">
        <v>79.38</v>
      </c>
      <c r="L5">
        <v>95.7</v>
      </c>
      <c r="M5">
        <v>97.26</v>
      </c>
      <c r="N5">
        <v>113.12</v>
      </c>
    </row>
    <row r="6" spans="1:15" x14ac:dyDescent="0.2">
      <c r="A6" s="38"/>
    </row>
    <row r="8" spans="1:15" x14ac:dyDescent="0.2">
      <c r="A8" s="38" t="s">
        <v>68</v>
      </c>
    </row>
    <row r="9" spans="1:15" ht="13.5" thickBot="1" x14ac:dyDescent="0.25"/>
    <row r="10" spans="1:15" x14ac:dyDescent="0.2">
      <c r="A10" s="37" t="s">
        <v>35</v>
      </c>
      <c r="B10" s="37"/>
    </row>
    <row r="11" spans="1:15" x14ac:dyDescent="0.2">
      <c r="A11" s="34" t="s">
        <v>36</v>
      </c>
      <c r="B11" s="34">
        <v>0.89692161541068438</v>
      </c>
    </row>
    <row r="12" spans="1:15" x14ac:dyDescent="0.2">
      <c r="A12" s="34" t="s">
        <v>37</v>
      </c>
      <c r="B12" s="34">
        <v>0.80446838419091171</v>
      </c>
    </row>
    <row r="13" spans="1:15" x14ac:dyDescent="0.2">
      <c r="A13" s="34" t="s">
        <v>38</v>
      </c>
      <c r="B13" s="34">
        <v>-1.1818181818181819</v>
      </c>
    </row>
    <row r="14" spans="1:15" x14ac:dyDescent="0.2">
      <c r="A14" s="34" t="s">
        <v>39</v>
      </c>
      <c r="B14" s="34">
        <v>3.1558057117870226</v>
      </c>
    </row>
    <row r="15" spans="1:15" ht="13.5" thickBot="1" x14ac:dyDescent="0.25">
      <c r="A15" s="35" t="s">
        <v>40</v>
      </c>
      <c r="B15" s="35">
        <v>1</v>
      </c>
    </row>
    <row r="17" spans="1:9" ht="13.5" thickBot="1" x14ac:dyDescent="0.25">
      <c r="A17" t="s">
        <v>41</v>
      </c>
    </row>
    <row r="18" spans="1:9" x14ac:dyDescent="0.2">
      <c r="A18" s="36"/>
      <c r="B18" s="36" t="s">
        <v>44</v>
      </c>
      <c r="C18" s="36" t="s">
        <v>45</v>
      </c>
      <c r="D18" s="36" t="s">
        <v>46</v>
      </c>
      <c r="E18" s="36" t="s">
        <v>47</v>
      </c>
      <c r="F18" s="36" t="s">
        <v>48</v>
      </c>
    </row>
    <row r="19" spans="1:9" x14ac:dyDescent="0.2">
      <c r="A19" s="34" t="s">
        <v>42</v>
      </c>
      <c r="B19" s="34">
        <v>13</v>
      </c>
      <c r="C19" s="34">
        <v>450.71830109628428</v>
      </c>
      <c r="D19" s="34">
        <v>34.670638545868023</v>
      </c>
      <c r="E19" s="34">
        <v>45.256886920732548</v>
      </c>
      <c r="F19" s="34" t="e">
        <v>#NUM!</v>
      </c>
    </row>
    <row r="20" spans="1:9" x14ac:dyDescent="0.2">
      <c r="A20" s="34" t="s">
        <v>16</v>
      </c>
      <c r="B20" s="34">
        <v>11</v>
      </c>
      <c r="C20" s="34">
        <v>109.55020659602356</v>
      </c>
      <c r="D20" s="34">
        <v>9.9591096905475958</v>
      </c>
      <c r="E20" s="34"/>
      <c r="F20" s="34"/>
    </row>
    <row r="21" spans="1:9" ht="13.5" thickBot="1" x14ac:dyDescent="0.25">
      <c r="A21" s="35" t="s">
        <v>0</v>
      </c>
      <c r="B21" s="35">
        <v>24</v>
      </c>
      <c r="C21" s="35">
        <v>560.26850769230782</v>
      </c>
      <c r="D21" s="35"/>
      <c r="E21" s="35"/>
      <c r="F21" s="35"/>
    </row>
    <row r="22" spans="1:9" ht="13.5" thickBot="1" x14ac:dyDescent="0.25"/>
    <row r="23" spans="1:9" x14ac:dyDescent="0.2">
      <c r="A23" s="36"/>
      <c r="B23" s="36" t="s">
        <v>49</v>
      </c>
      <c r="C23" s="36" t="s">
        <v>39</v>
      </c>
      <c r="D23" s="36" t="s">
        <v>50</v>
      </c>
      <c r="E23" s="36" t="s">
        <v>51</v>
      </c>
      <c r="F23" s="36" t="s">
        <v>52</v>
      </c>
      <c r="G23" s="36" t="s">
        <v>53</v>
      </c>
      <c r="H23" s="36" t="s">
        <v>54</v>
      </c>
      <c r="I23" s="36" t="s">
        <v>55</v>
      </c>
    </row>
    <row r="24" spans="1:9" x14ac:dyDescent="0.2">
      <c r="A24" s="34" t="s">
        <v>43</v>
      </c>
      <c r="B24" s="34"/>
      <c r="C24" s="34"/>
      <c r="D24" s="34"/>
      <c r="E24" s="34"/>
      <c r="F24" s="34"/>
      <c r="G24" s="34"/>
      <c r="H24" s="34">
        <v>0</v>
      </c>
      <c r="I24" s="34">
        <v>0</v>
      </c>
    </row>
    <row r="25" spans="1:9" x14ac:dyDescent="0.2">
      <c r="A25" s="34" t="s">
        <v>56</v>
      </c>
      <c r="B25" s="34"/>
      <c r="C25" s="34"/>
      <c r="D25" s="34"/>
      <c r="E25" s="34"/>
      <c r="F25" s="34"/>
      <c r="G25" s="34"/>
      <c r="H25" s="34">
        <v>0</v>
      </c>
      <c r="I25" s="34">
        <v>0</v>
      </c>
    </row>
    <row r="26" spans="1:9" x14ac:dyDescent="0.2">
      <c r="A26" s="34" t="s">
        <v>57</v>
      </c>
      <c r="B26" s="34"/>
      <c r="C26" s="34"/>
      <c r="D26" s="34"/>
      <c r="E26" s="34"/>
      <c r="F26" s="34"/>
      <c r="G26" s="34"/>
      <c r="H26" s="34">
        <v>0</v>
      </c>
      <c r="I26" s="34">
        <v>0</v>
      </c>
    </row>
    <row r="27" spans="1:9" x14ac:dyDescent="0.2">
      <c r="A27" s="34" t="s">
        <v>58</v>
      </c>
      <c r="B27" s="34"/>
      <c r="C27" s="34"/>
      <c r="D27" s="34"/>
      <c r="E27" s="34"/>
      <c r="F27" s="34"/>
      <c r="G27" s="34"/>
      <c r="H27" s="34">
        <v>0</v>
      </c>
      <c r="I27" s="34">
        <v>0</v>
      </c>
    </row>
    <row r="28" spans="1:9" x14ac:dyDescent="0.2">
      <c r="A28" s="34" t="s">
        <v>59</v>
      </c>
      <c r="B28" s="34"/>
      <c r="C28" s="34"/>
      <c r="D28" s="34"/>
      <c r="E28" s="34"/>
      <c r="F28" s="34"/>
      <c r="G28" s="34"/>
      <c r="H28" s="34">
        <v>109.55020659602356</v>
      </c>
      <c r="I28" s="34">
        <v>109.55020659602356</v>
      </c>
    </row>
    <row r="29" spans="1:9" x14ac:dyDescent="0.2">
      <c r="A29" s="34" t="s">
        <v>60</v>
      </c>
      <c r="B29" s="34"/>
      <c r="C29" s="34"/>
      <c r="D29" s="34"/>
      <c r="E29" s="34"/>
      <c r="F29" s="34"/>
      <c r="G29" s="34"/>
      <c r="H29" s="34">
        <v>450.71830109628428</v>
      </c>
      <c r="I29" s="34">
        <v>450.71830109628428</v>
      </c>
    </row>
    <row r="30" spans="1:9" x14ac:dyDescent="0.2">
      <c r="A30" s="34" t="s">
        <v>61</v>
      </c>
      <c r="B30" s="34">
        <v>11</v>
      </c>
      <c r="C30" s="34">
        <v>109.55020659602356</v>
      </c>
      <c r="D30" s="34">
        <v>0.10041058197693328</v>
      </c>
      <c r="E30" s="34">
        <v>0.92182509563171988</v>
      </c>
      <c r="F30" s="34">
        <v>-230.11837900282097</v>
      </c>
      <c r="G30" s="34">
        <v>252.11837900282097</v>
      </c>
      <c r="H30" s="34">
        <v>-230.11837900282097</v>
      </c>
      <c r="I30" s="34">
        <v>252.11837900282097</v>
      </c>
    </row>
    <row r="31" spans="1:9" x14ac:dyDescent="0.2">
      <c r="A31" s="34" t="s">
        <v>62</v>
      </c>
      <c r="B31" s="34">
        <v>45.256886920732548</v>
      </c>
      <c r="C31" s="34">
        <v>450.71830109628428</v>
      </c>
      <c r="D31" s="34">
        <v>0.10041058197693327</v>
      </c>
      <c r="E31" s="34">
        <v>0.92182509563171999</v>
      </c>
      <c r="F31" s="34">
        <v>-946.76740517390397</v>
      </c>
      <c r="G31" s="34">
        <v>1037.2811790153692</v>
      </c>
      <c r="H31" s="34">
        <v>-946.76740517390397</v>
      </c>
      <c r="I31" s="34">
        <v>1037.2811790153692</v>
      </c>
    </row>
    <row r="32" spans="1:9" x14ac:dyDescent="0.2">
      <c r="A32" s="34" t="s">
        <v>63</v>
      </c>
      <c r="B32" s="34">
        <v>3.1558057117870226</v>
      </c>
      <c r="C32" s="34">
        <v>11</v>
      </c>
      <c r="D32" s="34">
        <v>0.28689142834427478</v>
      </c>
      <c r="E32" s="34">
        <v>0.7795273619987213</v>
      </c>
      <c r="F32" s="34">
        <v>-21.055031049221</v>
      </c>
      <c r="G32" s="34">
        <v>27.366642472795043</v>
      </c>
      <c r="H32" s="34">
        <v>-21.055031049221</v>
      </c>
      <c r="I32" s="34">
        <v>27.366642472795043</v>
      </c>
    </row>
    <row r="33" spans="1:10" x14ac:dyDescent="0.2">
      <c r="A33" s="34" t="s">
        <v>64</v>
      </c>
      <c r="B33" s="34">
        <v>0.80446838419091171</v>
      </c>
      <c r="C33" s="34">
        <v>45.256886920732548</v>
      </c>
      <c r="D33" s="34">
        <v>1.7775601437189845E-2</v>
      </c>
      <c r="E33" s="34">
        <v>0.98613619149391241</v>
      </c>
      <c r="F33" s="34">
        <v>-98.805268120286783</v>
      </c>
      <c r="G33" s="34">
        <v>100.41420488866861</v>
      </c>
      <c r="H33" s="34">
        <v>-98.805268120286783</v>
      </c>
      <c r="I33" s="34">
        <v>100.41420488866861</v>
      </c>
    </row>
    <row r="34" spans="1:10" x14ac:dyDescent="0.2">
      <c r="A34" s="34" t="s">
        <v>65</v>
      </c>
      <c r="B34" s="34">
        <v>3.2723907413504589</v>
      </c>
      <c r="C34" s="34">
        <v>3.1558057117870226</v>
      </c>
      <c r="D34" s="34">
        <v>1.0369430314191992</v>
      </c>
      <c r="E34" s="34">
        <v>0.32202016035168479</v>
      </c>
      <c r="F34" s="34">
        <v>-3.6734907984252079</v>
      </c>
      <c r="G34" s="34">
        <v>10.218272281126126</v>
      </c>
      <c r="H34" s="34">
        <v>-3.6734907984252079</v>
      </c>
      <c r="I34" s="34">
        <v>10.218272281126126</v>
      </c>
    </row>
    <row r="35" spans="1:10" x14ac:dyDescent="0.2">
      <c r="A35" s="34" t="s">
        <v>66</v>
      </c>
      <c r="B35" s="34">
        <v>1.0102067170606853E-4</v>
      </c>
      <c r="C35" s="34">
        <v>0.80446838419091171</v>
      </c>
      <c r="D35" s="34">
        <v>1.2557444604571917E-4</v>
      </c>
      <c r="E35" s="34">
        <v>0.99990205450486902</v>
      </c>
      <c r="F35" s="34">
        <v>-1.7705219546953894</v>
      </c>
      <c r="G35" s="34">
        <v>1.7707239960388015</v>
      </c>
      <c r="H35" s="34">
        <v>-1.7705219546953894</v>
      </c>
      <c r="I35" s="34">
        <v>1.7707239960388015</v>
      </c>
    </row>
    <row r="36" spans="1:10" x14ac:dyDescent="0.2">
      <c r="A36" s="34" t="s">
        <v>67</v>
      </c>
      <c r="B36" s="41">
        <v>24.041477167739526</v>
      </c>
      <c r="C36" s="34">
        <v>3.2723907413504589</v>
      </c>
      <c r="D36" s="34">
        <v>7.3467623728265483</v>
      </c>
      <c r="E36" s="34">
        <v>1.4542055085358664E-5</v>
      </c>
      <c r="F36" s="34">
        <v>16.838993708005891</v>
      </c>
      <c r="G36" s="34">
        <v>31.243960627473161</v>
      </c>
      <c r="H36" s="34">
        <v>16.838993708005891</v>
      </c>
      <c r="I36" s="34">
        <v>31.243960627473161</v>
      </c>
      <c r="J36" s="43" t="s">
        <v>71</v>
      </c>
    </row>
    <row r="37" spans="1:10" ht="13.5" thickBot="1" x14ac:dyDescent="0.25">
      <c r="A37" s="35" t="s">
        <v>97</v>
      </c>
      <c r="B37" s="42">
        <v>6.7959877965198577E-4</v>
      </c>
      <c r="C37" s="35">
        <v>1.0102067170606853E-4</v>
      </c>
      <c r="D37" s="35">
        <v>6.7273239048474949</v>
      </c>
      <c r="E37" s="35">
        <v>3.2546532384123233E-5</v>
      </c>
      <c r="F37" s="35">
        <v>4.572537803644397E-4</v>
      </c>
      <c r="G37" s="35">
        <v>9.019437789395319E-4</v>
      </c>
      <c r="H37" s="35">
        <v>4.572537803644397E-4</v>
      </c>
      <c r="I37" s="35">
        <v>9.019437789395319E-4</v>
      </c>
      <c r="J37" s="43" t="s">
        <v>72</v>
      </c>
    </row>
    <row r="39" spans="1:10" x14ac:dyDescent="0.2">
      <c r="A39" s="38" t="s">
        <v>253</v>
      </c>
    </row>
    <row r="40" spans="1:10" ht="13.5" thickBot="1" x14ac:dyDescent="0.25"/>
    <row r="41" spans="1:10" x14ac:dyDescent="0.2">
      <c r="A41" s="37" t="s">
        <v>35</v>
      </c>
      <c r="B41" s="37"/>
    </row>
    <row r="42" spans="1:10" x14ac:dyDescent="0.2">
      <c r="A42" s="34" t="s">
        <v>36</v>
      </c>
      <c r="B42" s="34">
        <v>0.99212938975567333</v>
      </c>
    </row>
    <row r="43" spans="1:10" x14ac:dyDescent="0.2">
      <c r="A43" s="34" t="s">
        <v>37</v>
      </c>
      <c r="B43" s="34">
        <v>0.98432072601696474</v>
      </c>
    </row>
    <row r="44" spans="1:10" x14ac:dyDescent="0.2">
      <c r="A44" s="34" t="s">
        <v>38</v>
      </c>
      <c r="B44" s="34">
        <v>-1.1818181818181819</v>
      </c>
    </row>
    <row r="45" spans="1:10" x14ac:dyDescent="0.2">
      <c r="A45" s="34" t="s">
        <v>39</v>
      </c>
      <c r="B45" s="34">
        <v>2.3175376553031035</v>
      </c>
    </row>
    <row r="46" spans="1:10" ht="13.5" thickBot="1" x14ac:dyDescent="0.25">
      <c r="A46" s="35" t="s">
        <v>40</v>
      </c>
      <c r="B46" s="35">
        <v>1</v>
      </c>
    </row>
    <row r="48" spans="1:10" ht="13.5" thickBot="1" x14ac:dyDescent="0.25">
      <c r="A48" t="s">
        <v>41</v>
      </c>
    </row>
    <row r="49" spans="1:9" x14ac:dyDescent="0.2">
      <c r="A49" s="36"/>
      <c r="B49" s="36" t="s">
        <v>44</v>
      </c>
      <c r="C49" s="36" t="s">
        <v>45</v>
      </c>
      <c r="D49" s="36" t="s">
        <v>46</v>
      </c>
      <c r="E49" s="36" t="s">
        <v>47</v>
      </c>
      <c r="F49" s="36" t="s">
        <v>48</v>
      </c>
    </row>
    <row r="50" spans="1:9" x14ac:dyDescent="0.2">
      <c r="A50" s="34" t="s">
        <v>42</v>
      </c>
      <c r="B50" s="34">
        <v>13</v>
      </c>
      <c r="C50" s="34">
        <v>3709.0011190710825</v>
      </c>
      <c r="D50" s="34">
        <v>285.30777839008329</v>
      </c>
      <c r="E50" s="34">
        <v>690.56309609117341</v>
      </c>
      <c r="F50" s="34" t="e">
        <v>#NUM!</v>
      </c>
    </row>
    <row r="51" spans="1:9" x14ac:dyDescent="0.2">
      <c r="A51" s="34" t="s">
        <v>16</v>
      </c>
      <c r="B51" s="34">
        <v>11</v>
      </c>
      <c r="C51" s="34">
        <v>59.080788621225871</v>
      </c>
      <c r="D51" s="34">
        <v>5.3709807837478065</v>
      </c>
      <c r="E51" s="34"/>
      <c r="F51" s="34"/>
    </row>
    <row r="52" spans="1:9" ht="13.5" thickBot="1" x14ac:dyDescent="0.25">
      <c r="A52" s="35" t="s">
        <v>0</v>
      </c>
      <c r="B52" s="35">
        <v>24</v>
      </c>
      <c r="C52" s="35">
        <v>3768.0819076923085</v>
      </c>
      <c r="D52" s="35"/>
      <c r="E52" s="35"/>
      <c r="F52" s="35"/>
    </row>
    <row r="53" spans="1:9" ht="13.5" thickBot="1" x14ac:dyDescent="0.25"/>
    <row r="54" spans="1:9" x14ac:dyDescent="0.2">
      <c r="A54" s="36"/>
      <c r="B54" s="36" t="s">
        <v>49</v>
      </c>
      <c r="C54" s="36" t="s">
        <v>39</v>
      </c>
      <c r="D54" s="36" t="s">
        <v>50</v>
      </c>
      <c r="E54" s="36" t="s">
        <v>51</v>
      </c>
      <c r="F54" s="36" t="s">
        <v>52</v>
      </c>
      <c r="G54" s="36" t="s">
        <v>53</v>
      </c>
      <c r="H54" s="36" t="s">
        <v>54</v>
      </c>
      <c r="I54" s="36" t="s">
        <v>55</v>
      </c>
    </row>
    <row r="55" spans="1:9" x14ac:dyDescent="0.2">
      <c r="A55" s="34" t="s">
        <v>43</v>
      </c>
      <c r="B55" s="34"/>
      <c r="C55" s="34"/>
      <c r="D55" s="34"/>
      <c r="E55" s="34"/>
      <c r="F55" s="34"/>
      <c r="G55" s="34"/>
      <c r="H55" s="34">
        <v>-4.8285051476661371E-297</v>
      </c>
      <c r="I55" s="34">
        <v>1.2744215130604511E-296</v>
      </c>
    </row>
    <row r="56" spans="1:9" x14ac:dyDescent="0.2">
      <c r="A56" s="34" t="s">
        <v>56</v>
      </c>
      <c r="B56" s="34"/>
      <c r="C56" s="34"/>
      <c r="D56" s="34"/>
      <c r="E56" s="34"/>
      <c r="F56" s="34"/>
      <c r="G56" s="34"/>
      <c r="H56" s="34">
        <v>0</v>
      </c>
      <c r="I56" s="34">
        <v>0</v>
      </c>
    </row>
    <row r="57" spans="1:9" x14ac:dyDescent="0.2">
      <c r="A57" s="34" t="s">
        <v>57</v>
      </c>
      <c r="B57" s="34"/>
      <c r="C57" s="34"/>
      <c r="D57" s="34"/>
      <c r="E57" s="34"/>
      <c r="F57" s="34"/>
      <c r="G57" s="34"/>
      <c r="H57" s="34">
        <v>-8.7926764953825081E-297</v>
      </c>
      <c r="I57" s="34">
        <v>8.7926764953825081E-297</v>
      </c>
    </row>
    <row r="58" spans="1:9" x14ac:dyDescent="0.2">
      <c r="A58" s="34" t="s">
        <v>58</v>
      </c>
      <c r="B58" s="34"/>
      <c r="C58" s="34"/>
      <c r="D58" s="34"/>
      <c r="E58" s="34"/>
      <c r="F58" s="34"/>
      <c r="G58" s="34"/>
      <c r="H58" s="34">
        <v>0</v>
      </c>
      <c r="I58" s="34">
        <v>0</v>
      </c>
    </row>
    <row r="59" spans="1:9" x14ac:dyDescent="0.2">
      <c r="A59" s="34" t="s">
        <v>59</v>
      </c>
      <c r="B59" s="34"/>
      <c r="C59" s="34"/>
      <c r="D59" s="34"/>
      <c r="E59" s="34"/>
      <c r="F59" s="34"/>
      <c r="G59" s="34"/>
      <c r="H59" s="34">
        <v>3.9920124399064562E-297</v>
      </c>
      <c r="I59" s="34">
        <v>3.9920124399064562E-297</v>
      </c>
    </row>
    <row r="60" spans="1:9" x14ac:dyDescent="0.2">
      <c r="A60" s="34" t="s">
        <v>60</v>
      </c>
      <c r="B60" s="34"/>
      <c r="C60" s="34"/>
      <c r="D60" s="34"/>
      <c r="E60" s="34"/>
      <c r="F60" s="34"/>
      <c r="G60" s="34"/>
      <c r="H60" s="34">
        <v>0</v>
      </c>
      <c r="I60" s="34">
        <v>0</v>
      </c>
    </row>
    <row r="61" spans="1:9" x14ac:dyDescent="0.2">
      <c r="A61" s="34" t="s">
        <v>61</v>
      </c>
      <c r="B61" s="34"/>
      <c r="C61" s="34"/>
      <c r="D61" s="34"/>
      <c r="E61" s="34"/>
      <c r="F61" s="34"/>
      <c r="G61" s="34"/>
      <c r="H61" s="34">
        <v>3.9948822258376444E-297</v>
      </c>
      <c r="I61" s="34">
        <v>3.9948822258376444E-297</v>
      </c>
    </row>
    <row r="62" spans="1:9" x14ac:dyDescent="0.2">
      <c r="A62" s="34" t="s">
        <v>62</v>
      </c>
      <c r="B62" s="34"/>
      <c r="C62" s="34"/>
      <c r="D62" s="34"/>
      <c r="E62" s="34"/>
      <c r="F62" s="34"/>
      <c r="G62" s="34"/>
      <c r="H62" s="34">
        <v>-2.2317618889723245E-256</v>
      </c>
      <c r="I62" s="34">
        <v>2.2317618889723245E-256</v>
      </c>
    </row>
    <row r="63" spans="1:9" x14ac:dyDescent="0.2">
      <c r="A63" s="34" t="s">
        <v>63</v>
      </c>
      <c r="B63" s="34"/>
      <c r="C63" s="34"/>
      <c r="D63" s="34"/>
      <c r="E63" s="34"/>
      <c r="F63" s="34"/>
      <c r="G63" s="34"/>
      <c r="H63" s="34">
        <v>-27.431359992871354</v>
      </c>
      <c r="I63" s="34">
        <v>27.431359992871354</v>
      </c>
    </row>
    <row r="64" spans="1:9" x14ac:dyDescent="0.2">
      <c r="A64" s="34" t="s">
        <v>64</v>
      </c>
      <c r="B64" s="34"/>
      <c r="C64" s="34"/>
      <c r="D64" s="34"/>
      <c r="E64" s="34"/>
      <c r="F64" s="34"/>
      <c r="G64" s="34"/>
      <c r="H64" s="34">
        <v>-4.2908723081371497E-3</v>
      </c>
      <c r="I64" s="34">
        <v>4.2908723081371497E-3</v>
      </c>
    </row>
    <row r="65" spans="1:10" x14ac:dyDescent="0.2">
      <c r="A65" s="34" t="s">
        <v>65</v>
      </c>
      <c r="B65" s="34"/>
      <c r="C65" s="34"/>
      <c r="D65" s="34"/>
      <c r="E65" s="34"/>
      <c r="F65" s="34"/>
      <c r="G65" s="34"/>
      <c r="H65" s="34">
        <v>-5.1008659872757018</v>
      </c>
      <c r="I65" s="34">
        <v>5.1008659872757018</v>
      </c>
    </row>
    <row r="66" spans="1:10" x14ac:dyDescent="0.2">
      <c r="A66" s="34" t="s">
        <v>66</v>
      </c>
      <c r="B66" s="34"/>
      <c r="C66" s="34"/>
      <c r="D66" s="34"/>
      <c r="E66" s="34"/>
      <c r="F66" s="34"/>
      <c r="G66" s="34"/>
      <c r="H66" s="34">
        <v>-2.1664753107339667</v>
      </c>
      <c r="I66" s="34">
        <v>2.1664753107339667</v>
      </c>
    </row>
    <row r="67" spans="1:10" x14ac:dyDescent="0.2">
      <c r="A67" s="34" t="s">
        <v>67</v>
      </c>
      <c r="B67" s="41">
        <v>12.463218966787238</v>
      </c>
      <c r="C67" s="34">
        <v>2.4031545217181436</v>
      </c>
      <c r="D67" s="34">
        <v>5.1861912557652001</v>
      </c>
      <c r="E67" s="34">
        <v>3.0084821924636725E-4</v>
      </c>
      <c r="F67" s="34">
        <v>7.1739115270784852</v>
      </c>
      <c r="G67" s="34">
        <v>17.752526406495992</v>
      </c>
      <c r="H67" s="34">
        <v>7.1739115270784852</v>
      </c>
      <c r="I67" s="34">
        <v>17.752526406495992</v>
      </c>
      <c r="J67" s="43" t="s">
        <v>71</v>
      </c>
    </row>
    <row r="68" spans="1:10" ht="13.5" thickBot="1" x14ac:dyDescent="0.25">
      <c r="A68" s="35" t="s">
        <v>97</v>
      </c>
      <c r="B68" s="42">
        <v>1.9495235069910688E-3</v>
      </c>
      <c r="C68" s="35">
        <v>7.418682644764373E-5</v>
      </c>
      <c r="D68" s="35">
        <v>26.278567238172894</v>
      </c>
      <c r="E68" s="35">
        <v>2.8091858802294005E-11</v>
      </c>
      <c r="F68" s="35">
        <v>1.7862394029055111E-3</v>
      </c>
      <c r="G68" s="35">
        <v>2.1128076110766263E-3</v>
      </c>
      <c r="H68" s="35">
        <v>1.7862394029055111E-3</v>
      </c>
      <c r="I68" s="35">
        <v>2.1128076110766263E-3</v>
      </c>
      <c r="J68" s="43" t="s">
        <v>72</v>
      </c>
    </row>
  </sheetData>
  <pageMargins left="0.7" right="0.7" top="0.75" bottom="0.75" header="0.3" footer="0.3"/>
  <pageSetup paperSize="9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74"/>
  <sheetViews>
    <sheetView workbookViewId="0">
      <selection activeCell="A79" sqref="A79"/>
    </sheetView>
  </sheetViews>
  <sheetFormatPr defaultRowHeight="12.75" x14ac:dyDescent="0.2"/>
  <cols>
    <col min="1" max="1" width="40.28515625" bestFit="1" customWidth="1"/>
  </cols>
  <sheetData>
    <row r="1" spans="1:21" ht="178.5" x14ac:dyDescent="0.2">
      <c r="A1" s="40" t="s">
        <v>169</v>
      </c>
      <c r="B1" s="39" t="s">
        <v>149</v>
      </c>
      <c r="C1" s="39" t="s">
        <v>150</v>
      </c>
      <c r="D1" s="39" t="s">
        <v>151</v>
      </c>
      <c r="E1" s="39" t="s">
        <v>152</v>
      </c>
      <c r="F1" s="39" t="s">
        <v>153</v>
      </c>
      <c r="G1" s="39" t="s">
        <v>154</v>
      </c>
      <c r="H1" s="39" t="s">
        <v>155</v>
      </c>
      <c r="I1" s="39" t="s">
        <v>156</v>
      </c>
      <c r="J1" s="39" t="s">
        <v>157</v>
      </c>
      <c r="K1" s="39" t="s">
        <v>158</v>
      </c>
      <c r="L1" s="39" t="s">
        <v>159</v>
      </c>
      <c r="M1" s="39" t="s">
        <v>160</v>
      </c>
      <c r="N1" s="39" t="s">
        <v>161</v>
      </c>
      <c r="O1" s="39" t="s">
        <v>162</v>
      </c>
      <c r="P1" s="39" t="s">
        <v>163</v>
      </c>
      <c r="Q1" s="39" t="s">
        <v>164</v>
      </c>
      <c r="R1" s="39" t="s">
        <v>165</v>
      </c>
      <c r="S1" s="39" t="s">
        <v>166</v>
      </c>
      <c r="T1" s="39" t="s">
        <v>167</v>
      </c>
      <c r="U1" s="39" t="s">
        <v>70</v>
      </c>
    </row>
    <row r="2" spans="1:21" x14ac:dyDescent="0.2">
      <c r="A2" t="s">
        <v>34</v>
      </c>
      <c r="B2">
        <v>32890</v>
      </c>
      <c r="C2">
        <v>31990</v>
      </c>
      <c r="D2">
        <v>33990</v>
      </c>
      <c r="E2">
        <v>32990</v>
      </c>
      <c r="F2">
        <v>33500</v>
      </c>
      <c r="G2">
        <v>32790</v>
      </c>
      <c r="H2">
        <v>33980</v>
      </c>
      <c r="I2">
        <v>33650</v>
      </c>
      <c r="J2">
        <v>39490</v>
      </c>
      <c r="K2">
        <v>35380</v>
      </c>
      <c r="L2">
        <v>33240</v>
      </c>
      <c r="M2">
        <v>40990</v>
      </c>
      <c r="N2">
        <v>41490</v>
      </c>
      <c r="O2">
        <v>39750</v>
      </c>
      <c r="P2">
        <v>42000</v>
      </c>
      <c r="Q2">
        <v>56990</v>
      </c>
      <c r="R2">
        <v>62200</v>
      </c>
      <c r="S2">
        <v>65990</v>
      </c>
      <c r="T2">
        <v>63966</v>
      </c>
    </row>
    <row r="3" spans="1:21" x14ac:dyDescent="0.2">
      <c r="A3" t="s">
        <v>32</v>
      </c>
      <c r="B3" s="1">
        <v>16.88</v>
      </c>
      <c r="C3" s="1">
        <v>24.1</v>
      </c>
      <c r="D3" s="1">
        <v>15.51</v>
      </c>
      <c r="E3" s="1">
        <v>16.72</v>
      </c>
      <c r="F3" s="1">
        <v>17.16</v>
      </c>
      <c r="G3" s="1">
        <v>18.64</v>
      </c>
      <c r="H3" s="1">
        <v>16.850000000000001</v>
      </c>
      <c r="I3" s="1">
        <v>18.87</v>
      </c>
      <c r="J3" s="1">
        <v>15.28</v>
      </c>
      <c r="K3" s="1">
        <v>14.23</v>
      </c>
      <c r="L3" s="1">
        <v>20.66</v>
      </c>
      <c r="M3" s="1">
        <v>17.75</v>
      </c>
      <c r="N3" s="1">
        <v>18.64</v>
      </c>
      <c r="O3" s="1">
        <v>19.329999999999998</v>
      </c>
      <c r="P3" s="1">
        <v>26.42</v>
      </c>
      <c r="Q3" s="1">
        <v>18.579999999999998</v>
      </c>
      <c r="R3" s="1">
        <v>20.399999999999999</v>
      </c>
      <c r="S3" s="1">
        <v>21.46</v>
      </c>
      <c r="T3" s="1">
        <v>20.260000000000002</v>
      </c>
      <c r="U3" s="1">
        <f>AVERAGE(B3:T3)</f>
        <v>18.828421052631576</v>
      </c>
    </row>
    <row r="4" spans="1:21" x14ac:dyDescent="0.2">
      <c r="A4" t="s">
        <v>33</v>
      </c>
      <c r="B4" s="1">
        <f>42.86</f>
        <v>42.86</v>
      </c>
      <c r="C4" s="1">
        <f>22.24</f>
        <v>22.24</v>
      </c>
      <c r="D4" s="1">
        <f>43.01</f>
        <v>43.01</v>
      </c>
      <c r="E4" s="1">
        <f>45.49</f>
        <v>45.49</v>
      </c>
      <c r="F4" s="1">
        <f>38.56</f>
        <v>38.56</v>
      </c>
      <c r="G4" s="1">
        <f>43.12</f>
        <v>43.12</v>
      </c>
      <c r="H4" s="1">
        <f>44.04</f>
        <v>44.04</v>
      </c>
      <c r="I4" s="1">
        <f>46.33</f>
        <v>46.33</v>
      </c>
      <c r="J4" s="1">
        <f>44.68</f>
        <v>44.68</v>
      </c>
      <c r="K4" s="1">
        <f>45.76</f>
        <v>45.76</v>
      </c>
      <c r="L4" s="1">
        <f>43.89</f>
        <v>43.89</v>
      </c>
      <c r="M4" s="1">
        <f>45.18</f>
        <v>45.18</v>
      </c>
      <c r="N4" s="1">
        <f>45.18</f>
        <v>45.18</v>
      </c>
      <c r="O4" s="1">
        <f>48.75</f>
        <v>48.75</v>
      </c>
      <c r="P4" s="1">
        <f>47.84</f>
        <v>47.84</v>
      </c>
      <c r="Q4" s="1">
        <f>59.12</f>
        <v>59.12</v>
      </c>
      <c r="R4" s="1">
        <f>63.22</f>
        <v>63.22</v>
      </c>
      <c r="S4" s="1">
        <f>60.01</f>
        <v>60.01</v>
      </c>
      <c r="T4" s="1">
        <f>89.71</f>
        <v>89.71</v>
      </c>
    </row>
    <row r="5" spans="1:21" x14ac:dyDescent="0.2">
      <c r="A5" s="40" t="s">
        <v>252</v>
      </c>
      <c r="B5">
        <v>72.11</v>
      </c>
      <c r="C5" s="40">
        <v>76.900000000000006</v>
      </c>
      <c r="D5">
        <v>77.13</v>
      </c>
      <c r="E5">
        <v>73.59</v>
      </c>
      <c r="F5">
        <v>80.53</v>
      </c>
      <c r="G5">
        <v>74.41</v>
      </c>
      <c r="H5">
        <v>81.680000000000007</v>
      </c>
      <c r="I5">
        <v>76.36</v>
      </c>
      <c r="J5">
        <v>85.06</v>
      </c>
      <c r="K5">
        <v>90.49</v>
      </c>
      <c r="L5">
        <v>75.430000000000007</v>
      </c>
      <c r="M5">
        <v>94.59</v>
      </c>
      <c r="N5">
        <v>95.75</v>
      </c>
      <c r="O5">
        <v>91.73</v>
      </c>
      <c r="P5">
        <v>99.35</v>
      </c>
      <c r="Q5">
        <v>122.75</v>
      </c>
      <c r="R5" s="40">
        <v>126.79</v>
      </c>
      <c r="S5" s="40">
        <v>134.52000000000001</v>
      </c>
      <c r="T5" s="40">
        <v>130.38999999999999</v>
      </c>
    </row>
    <row r="6" spans="1:21" x14ac:dyDescent="0.2">
      <c r="A6" s="38"/>
      <c r="R6" s="40" t="s">
        <v>244</v>
      </c>
      <c r="S6" s="40" t="s">
        <v>244</v>
      </c>
      <c r="T6" s="40" t="s">
        <v>244</v>
      </c>
    </row>
    <row r="7" spans="1:21" x14ac:dyDescent="0.2">
      <c r="A7" s="38"/>
    </row>
    <row r="8" spans="1:21" x14ac:dyDescent="0.2">
      <c r="A8" s="38" t="s">
        <v>68</v>
      </c>
    </row>
    <row r="9" spans="1:21" ht="13.5" thickBot="1" x14ac:dyDescent="0.25"/>
    <row r="10" spans="1:21" x14ac:dyDescent="0.2">
      <c r="A10" s="37" t="s">
        <v>35</v>
      </c>
      <c r="B10" s="37"/>
    </row>
    <row r="11" spans="1:21" x14ac:dyDescent="0.2">
      <c r="A11" s="34" t="s">
        <v>36</v>
      </c>
      <c r="B11" s="34">
        <v>0.67834774684885479</v>
      </c>
    </row>
    <row r="12" spans="1:21" x14ac:dyDescent="0.2">
      <c r="A12" s="34" t="s">
        <v>37</v>
      </c>
      <c r="B12" s="34">
        <v>0.460155665654918</v>
      </c>
    </row>
    <row r="13" spans="1:21" x14ac:dyDescent="0.2">
      <c r="A13" s="34" t="s">
        <v>38</v>
      </c>
      <c r="B13" s="34">
        <v>-1.1428571428571428</v>
      </c>
    </row>
    <row r="14" spans="1:21" x14ac:dyDescent="0.2">
      <c r="A14" s="34" t="s">
        <v>39</v>
      </c>
      <c r="B14" s="34">
        <v>5.5046506544477456</v>
      </c>
    </row>
    <row r="15" spans="1:21" ht="13.5" thickBot="1" x14ac:dyDescent="0.25">
      <c r="A15" s="35" t="s">
        <v>40</v>
      </c>
      <c r="B15" s="35">
        <v>1</v>
      </c>
    </row>
    <row r="17" spans="1:9" ht="13.5" thickBot="1" x14ac:dyDescent="0.25">
      <c r="A17" t="s">
        <v>41</v>
      </c>
    </row>
    <row r="18" spans="1:9" x14ac:dyDescent="0.2">
      <c r="A18" s="36"/>
      <c r="B18" s="36" t="s">
        <v>44</v>
      </c>
      <c r="C18" s="36" t="s">
        <v>45</v>
      </c>
      <c r="D18" s="36" t="s">
        <v>46</v>
      </c>
      <c r="E18" s="36" t="s">
        <v>47</v>
      </c>
      <c r="F18" s="36" t="s">
        <v>48</v>
      </c>
    </row>
    <row r="19" spans="1:9" x14ac:dyDescent="0.2">
      <c r="A19" s="34" t="s">
        <v>42</v>
      </c>
      <c r="B19" s="34">
        <v>16</v>
      </c>
      <c r="C19" s="34">
        <v>361.59614016483226</v>
      </c>
      <c r="D19" s="34">
        <v>22.599758760302016</v>
      </c>
      <c r="E19" s="34">
        <v>11.933401740678176</v>
      </c>
      <c r="F19" s="34" t="e">
        <v>#NUM!</v>
      </c>
    </row>
    <row r="20" spans="1:9" x14ac:dyDescent="0.2">
      <c r="A20" s="34" t="s">
        <v>16</v>
      </c>
      <c r="B20" s="34">
        <v>14</v>
      </c>
      <c r="C20" s="34">
        <v>424.21650358516786</v>
      </c>
      <c r="D20" s="34">
        <v>30.30117882751199</v>
      </c>
      <c r="E20" s="34"/>
      <c r="F20" s="34"/>
    </row>
    <row r="21" spans="1:9" ht="13.5" thickBot="1" x14ac:dyDescent="0.25">
      <c r="A21" s="35" t="s">
        <v>0</v>
      </c>
      <c r="B21" s="35">
        <v>30</v>
      </c>
      <c r="C21" s="35">
        <v>785.81264375000012</v>
      </c>
      <c r="D21" s="35"/>
      <c r="E21" s="35"/>
      <c r="F21" s="35"/>
    </row>
    <row r="22" spans="1:9" ht="13.5" thickBot="1" x14ac:dyDescent="0.25"/>
    <row r="23" spans="1:9" x14ac:dyDescent="0.2">
      <c r="A23" s="36"/>
      <c r="B23" s="36" t="s">
        <v>49</v>
      </c>
      <c r="C23" s="36" t="s">
        <v>39</v>
      </c>
      <c r="D23" s="36" t="s">
        <v>50</v>
      </c>
      <c r="E23" s="36" t="s">
        <v>51</v>
      </c>
      <c r="F23" s="36" t="s">
        <v>52</v>
      </c>
      <c r="G23" s="36" t="s">
        <v>53</v>
      </c>
      <c r="H23" s="36" t="s">
        <v>54</v>
      </c>
      <c r="I23" s="36" t="s">
        <v>55</v>
      </c>
    </row>
    <row r="24" spans="1:9" x14ac:dyDescent="0.2">
      <c r="A24" s="34" t="s">
        <v>43</v>
      </c>
      <c r="B24" s="34"/>
      <c r="C24" s="34"/>
      <c r="D24" s="34"/>
      <c r="E24" s="34"/>
      <c r="F24" s="34"/>
      <c r="G24" s="34"/>
      <c r="H24" s="34">
        <v>-1.2052307573683493E-36</v>
      </c>
      <c r="I24" s="34">
        <v>3.3108295898002212E-36</v>
      </c>
    </row>
    <row r="25" spans="1:9" x14ac:dyDescent="0.2">
      <c r="A25" s="34" t="s">
        <v>56</v>
      </c>
      <c r="B25" s="34"/>
      <c r="C25" s="34"/>
      <c r="D25" s="34"/>
      <c r="E25" s="34"/>
      <c r="F25" s="34"/>
      <c r="G25" s="34"/>
      <c r="H25" s="34">
        <v>0</v>
      </c>
      <c r="I25" s="34">
        <v>0</v>
      </c>
    </row>
    <row r="26" spans="1:9" x14ac:dyDescent="0.2">
      <c r="A26" s="34" t="s">
        <v>57</v>
      </c>
      <c r="B26" s="34"/>
      <c r="C26" s="34"/>
      <c r="D26" s="34"/>
      <c r="E26" s="34"/>
      <c r="F26" s="34"/>
      <c r="G26" s="34"/>
      <c r="H26" s="34">
        <v>-1.2052307564347753E-36</v>
      </c>
      <c r="I26" s="34">
        <v>3.3108295894603752E-36</v>
      </c>
    </row>
    <row r="27" spans="1:9" x14ac:dyDescent="0.2">
      <c r="A27" s="34" t="s">
        <v>58</v>
      </c>
      <c r="B27" s="34"/>
      <c r="C27" s="34"/>
      <c r="D27" s="34"/>
      <c r="E27" s="34"/>
      <c r="F27" s="34"/>
      <c r="G27" s="34"/>
      <c r="H27" s="34">
        <v>0</v>
      </c>
      <c r="I27" s="34">
        <v>0</v>
      </c>
    </row>
    <row r="28" spans="1:9" x14ac:dyDescent="0.2">
      <c r="A28" s="34" t="s">
        <v>59</v>
      </c>
      <c r="B28" s="34"/>
      <c r="C28" s="34"/>
      <c r="D28" s="34"/>
      <c r="E28" s="34"/>
      <c r="F28" s="34"/>
      <c r="G28" s="34"/>
      <c r="H28" s="34">
        <v>-1.2052307573683493E-36</v>
      </c>
      <c r="I28" s="34">
        <v>3.3108295898002212E-36</v>
      </c>
    </row>
    <row r="29" spans="1:9" x14ac:dyDescent="0.2">
      <c r="A29" s="34" t="s">
        <v>60</v>
      </c>
      <c r="B29" s="34"/>
      <c r="C29" s="34"/>
      <c r="D29" s="34"/>
      <c r="E29" s="34"/>
      <c r="F29" s="34"/>
      <c r="G29" s="34"/>
      <c r="H29" s="34">
        <v>0</v>
      </c>
      <c r="I29" s="34">
        <v>0</v>
      </c>
    </row>
    <row r="30" spans="1:9" x14ac:dyDescent="0.2">
      <c r="A30" s="34" t="s">
        <v>61</v>
      </c>
      <c r="B30" s="34"/>
      <c r="C30" s="34"/>
      <c r="D30" s="34"/>
      <c r="E30" s="34"/>
      <c r="F30" s="34"/>
      <c r="G30" s="34"/>
      <c r="H30" s="34">
        <v>-1.2052307564347753E-36</v>
      </c>
      <c r="I30" s="34">
        <v>3.3108295894603752E-36</v>
      </c>
    </row>
    <row r="31" spans="1:9" x14ac:dyDescent="0.2">
      <c r="A31" s="34" t="s">
        <v>62</v>
      </c>
      <c r="B31" s="34"/>
      <c r="C31" s="34"/>
      <c r="D31" s="34"/>
      <c r="E31" s="34"/>
      <c r="F31" s="34"/>
      <c r="G31" s="34"/>
      <c r="H31" s="34">
        <v>0</v>
      </c>
      <c r="I31" s="34">
        <v>0</v>
      </c>
    </row>
    <row r="32" spans="1:9" x14ac:dyDescent="0.2">
      <c r="A32" s="34" t="s">
        <v>63</v>
      </c>
      <c r="B32" s="34"/>
      <c r="C32" s="34"/>
      <c r="D32" s="34"/>
      <c r="E32" s="34"/>
      <c r="F32" s="34"/>
      <c r="G32" s="34"/>
      <c r="H32" s="34">
        <v>-1.2052307573683493E-36</v>
      </c>
      <c r="I32" s="34">
        <v>3.3108295898002212E-36</v>
      </c>
    </row>
    <row r="33" spans="1:10" x14ac:dyDescent="0.2">
      <c r="A33" s="34" t="s">
        <v>64</v>
      </c>
      <c r="B33" s="34"/>
      <c r="C33" s="34"/>
      <c r="D33" s="34"/>
      <c r="E33" s="34"/>
      <c r="F33" s="34"/>
      <c r="G33" s="34"/>
      <c r="H33" s="34">
        <v>14</v>
      </c>
      <c r="I33" s="34">
        <v>14</v>
      </c>
    </row>
    <row r="34" spans="1:10" x14ac:dyDescent="0.2">
      <c r="A34" s="34" t="s">
        <v>65</v>
      </c>
      <c r="B34" s="34"/>
      <c r="C34" s="34"/>
      <c r="D34" s="34"/>
      <c r="E34" s="34"/>
      <c r="F34" s="34"/>
      <c r="G34" s="34"/>
      <c r="H34" s="34">
        <v>11.933401740678176</v>
      </c>
      <c r="I34" s="34">
        <v>11.933401740678176</v>
      </c>
    </row>
    <row r="35" spans="1:10" x14ac:dyDescent="0.2">
      <c r="A35" s="34" t="s">
        <v>66</v>
      </c>
      <c r="B35" s="34">
        <v>5.5046506544477456</v>
      </c>
      <c r="C35" s="34">
        <v>14</v>
      </c>
      <c r="D35" s="34">
        <v>0.39318933246055326</v>
      </c>
      <c r="E35" s="34">
        <v>0.7001019802673345</v>
      </c>
      <c r="F35" s="34">
        <v>-24.522362976401517</v>
      </c>
      <c r="G35" s="34">
        <v>35.531664285297005</v>
      </c>
      <c r="H35" s="34">
        <v>-24.522362976401517</v>
      </c>
      <c r="I35" s="34">
        <v>35.531664285297005</v>
      </c>
    </row>
    <row r="36" spans="1:10" x14ac:dyDescent="0.2">
      <c r="A36" s="34" t="s">
        <v>67</v>
      </c>
      <c r="B36" s="34">
        <v>0.460155665654918</v>
      </c>
      <c r="C36" s="34">
        <v>11.933401740678176</v>
      </c>
      <c r="D36" s="34">
        <v>3.8560309596077279E-2</v>
      </c>
      <c r="E36" s="34">
        <v>0.96978541921010541</v>
      </c>
      <c r="F36" s="34">
        <v>-25.13444552932679</v>
      </c>
      <c r="G36" s="34">
        <v>26.054756860636623</v>
      </c>
      <c r="H36" s="34">
        <v>-25.13444552932679</v>
      </c>
      <c r="I36" s="34">
        <v>26.054756860636623</v>
      </c>
    </row>
    <row r="37" spans="1:10" x14ac:dyDescent="0.2">
      <c r="A37" s="34" t="s">
        <v>97</v>
      </c>
      <c r="B37" s="34">
        <v>8.4163174854532734</v>
      </c>
      <c r="C37" s="34">
        <v>5.5046506544477456</v>
      </c>
      <c r="D37" s="34">
        <v>1.5289467059372619</v>
      </c>
      <c r="E37" s="34">
        <v>0.14855361001383349</v>
      </c>
      <c r="F37" s="34">
        <v>-3.3899839598442814</v>
      </c>
      <c r="G37" s="34">
        <v>20.222618930750826</v>
      </c>
      <c r="H37" s="34">
        <v>-3.3899839598442814</v>
      </c>
      <c r="I37" s="34">
        <v>20.222618930750826</v>
      </c>
    </row>
    <row r="38" spans="1:10" x14ac:dyDescent="0.2">
      <c r="A38" s="34" t="s">
        <v>98</v>
      </c>
      <c r="B38" s="34">
        <v>2.2323392202246094E-4</v>
      </c>
      <c r="C38" s="34">
        <v>0.460155665654918</v>
      </c>
      <c r="D38" s="34">
        <v>4.8512696612078559E-4</v>
      </c>
      <c r="E38" s="34">
        <v>0.99961976967100097</v>
      </c>
      <c r="F38" s="34">
        <v>-0.98671251214460165</v>
      </c>
      <c r="G38" s="34">
        <v>0.98715897998864666</v>
      </c>
      <c r="H38" s="34">
        <v>-0.98671251214460165</v>
      </c>
      <c r="I38" s="34">
        <v>0.98715897998864666</v>
      </c>
    </row>
    <row r="39" spans="1:10" x14ac:dyDescent="0.2">
      <c r="A39" s="34" t="s">
        <v>99</v>
      </c>
      <c r="B39" s="41">
        <v>15.445454383582717</v>
      </c>
      <c r="C39" s="34">
        <v>8.4163174854532734</v>
      </c>
      <c r="D39" s="34">
        <v>1.8351796269899008</v>
      </c>
      <c r="E39" s="34">
        <v>8.7810979511374329E-2</v>
      </c>
      <c r="F39" s="34">
        <v>-2.6057513205073128</v>
      </c>
      <c r="G39" s="34">
        <v>33.496660087672751</v>
      </c>
      <c r="H39" s="34">
        <v>-2.6057513205073128</v>
      </c>
      <c r="I39" s="34">
        <v>33.496660087672751</v>
      </c>
      <c r="J39" s="43" t="s">
        <v>71</v>
      </c>
    </row>
    <row r="40" spans="1:10" ht="13.5" thickBot="1" x14ac:dyDescent="0.25">
      <c r="A40" s="35" t="s">
        <v>100</v>
      </c>
      <c r="B40" s="42">
        <v>7.7115613897040295E-4</v>
      </c>
      <c r="C40" s="35">
        <v>2.2323392202246094E-4</v>
      </c>
      <c r="D40" s="35">
        <v>3.4544756100858729</v>
      </c>
      <c r="E40" s="35">
        <v>3.8700507732257654E-3</v>
      </c>
      <c r="F40" s="35">
        <v>2.9236699472494755E-4</v>
      </c>
      <c r="G40" s="35">
        <v>1.2499452832158585E-3</v>
      </c>
      <c r="H40" s="35">
        <v>2.9236699472494755E-4</v>
      </c>
      <c r="I40" s="35">
        <v>1.2499452832158585E-3</v>
      </c>
      <c r="J40" s="43" t="s">
        <v>72</v>
      </c>
    </row>
    <row r="42" spans="1:10" x14ac:dyDescent="0.2">
      <c r="A42" s="38" t="s">
        <v>253</v>
      </c>
    </row>
    <row r="43" spans="1:10" ht="13.5" thickBot="1" x14ac:dyDescent="0.25"/>
    <row r="44" spans="1:10" x14ac:dyDescent="0.2">
      <c r="A44" s="37" t="s">
        <v>35</v>
      </c>
      <c r="B44" s="37"/>
    </row>
    <row r="45" spans="1:10" x14ac:dyDescent="0.2">
      <c r="A45" s="34" t="s">
        <v>36</v>
      </c>
      <c r="B45" s="34">
        <v>0.9617693393130915</v>
      </c>
    </row>
    <row r="46" spans="1:10" x14ac:dyDescent="0.2">
      <c r="A46" s="34" t="s">
        <v>37</v>
      </c>
      <c r="B46" s="34">
        <v>0.92500026204274055</v>
      </c>
    </row>
    <row r="47" spans="1:10" x14ac:dyDescent="0.2">
      <c r="A47" s="34" t="s">
        <v>38</v>
      </c>
      <c r="B47" s="34">
        <v>-1.1428571428571428</v>
      </c>
    </row>
    <row r="48" spans="1:10" x14ac:dyDescent="0.2">
      <c r="A48" s="34" t="s">
        <v>39</v>
      </c>
      <c r="B48" s="34">
        <v>3.7630876897517807</v>
      </c>
    </row>
    <row r="49" spans="1:9" ht="13.5" thickBot="1" x14ac:dyDescent="0.25">
      <c r="A49" s="35" t="s">
        <v>40</v>
      </c>
      <c r="B49" s="35">
        <v>1</v>
      </c>
    </row>
    <row r="51" spans="1:9" ht="13.5" thickBot="1" x14ac:dyDescent="0.25">
      <c r="A51" t="s">
        <v>41</v>
      </c>
    </row>
    <row r="52" spans="1:9" x14ac:dyDescent="0.2">
      <c r="A52" s="36"/>
      <c r="B52" s="36" t="s">
        <v>44</v>
      </c>
      <c r="C52" s="36" t="s">
        <v>45</v>
      </c>
      <c r="D52" s="36" t="s">
        <v>46</v>
      </c>
      <c r="E52" s="36" t="s">
        <v>47</v>
      </c>
      <c r="F52" s="36" t="s">
        <v>48</v>
      </c>
    </row>
    <row r="53" spans="1:9" x14ac:dyDescent="0.2">
      <c r="A53" s="34" t="s">
        <v>42</v>
      </c>
      <c r="B53" s="34">
        <v>16</v>
      </c>
      <c r="C53" s="34">
        <v>2445.1123695493397</v>
      </c>
      <c r="D53" s="34">
        <v>152.81952309683373</v>
      </c>
      <c r="E53" s="34">
        <v>172.6673188642109</v>
      </c>
      <c r="F53" s="34" t="e">
        <v>#NUM!</v>
      </c>
    </row>
    <row r="54" spans="1:9" x14ac:dyDescent="0.2">
      <c r="A54" s="34" t="s">
        <v>16</v>
      </c>
      <c r="B54" s="34">
        <v>14</v>
      </c>
      <c r="C54" s="34">
        <v>198.2516054506595</v>
      </c>
      <c r="D54" s="34">
        <v>14.160828960761393</v>
      </c>
      <c r="E54" s="34"/>
      <c r="F54" s="34"/>
    </row>
    <row r="55" spans="1:9" ht="13.5" thickBot="1" x14ac:dyDescent="0.25">
      <c r="A55" s="35" t="s">
        <v>0</v>
      </c>
      <c r="B55" s="35">
        <v>30</v>
      </c>
      <c r="C55" s="35">
        <v>2643.3639749999993</v>
      </c>
      <c r="D55" s="35"/>
      <c r="E55" s="35"/>
      <c r="F55" s="35"/>
    </row>
    <row r="56" spans="1:9" ht="13.5" thickBot="1" x14ac:dyDescent="0.25"/>
    <row r="57" spans="1:9" x14ac:dyDescent="0.2">
      <c r="A57" s="36"/>
      <c r="B57" s="36" t="s">
        <v>49</v>
      </c>
      <c r="C57" s="36" t="s">
        <v>39</v>
      </c>
      <c r="D57" s="36" t="s">
        <v>50</v>
      </c>
      <c r="E57" s="36" t="s">
        <v>51</v>
      </c>
      <c r="F57" s="36" t="s">
        <v>52</v>
      </c>
      <c r="G57" s="36" t="s">
        <v>53</v>
      </c>
      <c r="H57" s="36" t="s">
        <v>54</v>
      </c>
      <c r="I57" s="36" t="s">
        <v>55</v>
      </c>
    </row>
    <row r="58" spans="1:9" x14ac:dyDescent="0.2">
      <c r="A58" s="34" t="s">
        <v>43</v>
      </c>
      <c r="B58" s="34"/>
      <c r="C58" s="34"/>
      <c r="D58" s="34"/>
      <c r="E58" s="34"/>
      <c r="F58" s="34"/>
      <c r="G58" s="34"/>
      <c r="H58" s="34">
        <v>1.5260710926659336E-4</v>
      </c>
      <c r="I58" s="34">
        <v>1.5260710926659336E-4</v>
      </c>
    </row>
    <row r="59" spans="1:9" x14ac:dyDescent="0.2">
      <c r="A59" s="34" t="s">
        <v>56</v>
      </c>
      <c r="B59" s="34"/>
      <c r="C59" s="34"/>
      <c r="D59" s="34"/>
      <c r="E59" s="34"/>
      <c r="F59" s="34"/>
      <c r="G59" s="34"/>
      <c r="H59" s="34">
        <v>14</v>
      </c>
      <c r="I59" s="34">
        <v>14</v>
      </c>
    </row>
    <row r="60" spans="1:9" x14ac:dyDescent="0.2">
      <c r="A60" s="34" t="s">
        <v>57</v>
      </c>
      <c r="B60" s="34"/>
      <c r="C60" s="34"/>
      <c r="D60" s="34"/>
      <c r="E60" s="34"/>
      <c r="F60" s="34"/>
      <c r="G60" s="34"/>
      <c r="H60" s="34">
        <v>172.6673188642109</v>
      </c>
      <c r="I60" s="34">
        <v>172.6673188642109</v>
      </c>
    </row>
    <row r="61" spans="1:9" x14ac:dyDescent="0.2">
      <c r="A61" s="34" t="s">
        <v>58</v>
      </c>
      <c r="B61" s="34"/>
      <c r="C61" s="34"/>
      <c r="D61" s="34"/>
      <c r="E61" s="34"/>
      <c r="F61" s="34"/>
      <c r="G61" s="34"/>
      <c r="H61" s="34">
        <v>0</v>
      </c>
      <c r="I61" s="34">
        <v>0</v>
      </c>
    </row>
    <row r="62" spans="1:9" x14ac:dyDescent="0.2">
      <c r="A62" s="34" t="s">
        <v>59</v>
      </c>
      <c r="B62" s="34"/>
      <c r="C62" s="34"/>
      <c r="D62" s="34"/>
      <c r="E62" s="34"/>
      <c r="F62" s="34"/>
      <c r="G62" s="34"/>
      <c r="H62" s="34">
        <v>-1.2052307564347753E-36</v>
      </c>
      <c r="I62" s="34">
        <v>3.3108295894603752E-36</v>
      </c>
    </row>
    <row r="63" spans="1:9" x14ac:dyDescent="0.2">
      <c r="A63" s="34" t="s">
        <v>60</v>
      </c>
      <c r="B63" s="34"/>
      <c r="C63" s="34"/>
      <c r="D63" s="34"/>
      <c r="E63" s="34"/>
      <c r="F63" s="34"/>
      <c r="G63" s="34"/>
      <c r="H63" s="34">
        <v>0</v>
      </c>
      <c r="I63" s="34">
        <v>0</v>
      </c>
    </row>
    <row r="64" spans="1:9" x14ac:dyDescent="0.2">
      <c r="A64" s="34" t="s">
        <v>61</v>
      </c>
      <c r="B64" s="34"/>
      <c r="C64" s="34"/>
      <c r="D64" s="34"/>
      <c r="E64" s="34"/>
      <c r="F64" s="34"/>
      <c r="G64" s="34"/>
      <c r="H64" s="34">
        <v>-1.2052307570714854E-36</v>
      </c>
      <c r="I64" s="34">
        <v>3.3108295900970852E-36</v>
      </c>
    </row>
    <row r="65" spans="1:10" x14ac:dyDescent="0.2">
      <c r="A65" s="34" t="s">
        <v>62</v>
      </c>
      <c r="B65" s="34"/>
      <c r="C65" s="34"/>
      <c r="D65" s="34"/>
      <c r="E65" s="34"/>
      <c r="F65" s="34"/>
      <c r="G65" s="34"/>
      <c r="H65" s="34">
        <v>0</v>
      </c>
      <c r="I65" s="34">
        <v>0</v>
      </c>
    </row>
    <row r="66" spans="1:10" x14ac:dyDescent="0.2">
      <c r="A66" s="34" t="s">
        <v>63</v>
      </c>
      <c r="B66" s="34"/>
      <c r="C66" s="34"/>
      <c r="D66" s="34"/>
      <c r="E66" s="34"/>
      <c r="F66" s="34"/>
      <c r="G66" s="34"/>
      <c r="H66" s="34">
        <v>-1.2052307573683493E-36</v>
      </c>
      <c r="I66" s="34">
        <v>3.3108295898002212E-36</v>
      </c>
    </row>
    <row r="67" spans="1:10" x14ac:dyDescent="0.2">
      <c r="A67" s="34" t="s">
        <v>64</v>
      </c>
      <c r="B67" s="34"/>
      <c r="C67" s="34"/>
      <c r="D67" s="34"/>
      <c r="E67" s="34"/>
      <c r="F67" s="34"/>
      <c r="G67" s="34"/>
      <c r="H67" s="34">
        <v>0</v>
      </c>
      <c r="I67" s="34">
        <v>0</v>
      </c>
    </row>
    <row r="68" spans="1:10" x14ac:dyDescent="0.2">
      <c r="A68" s="34" t="s">
        <v>65</v>
      </c>
      <c r="B68" s="34"/>
      <c r="C68" s="34"/>
      <c r="D68" s="34"/>
      <c r="E68" s="34"/>
      <c r="F68" s="34"/>
      <c r="G68" s="34"/>
      <c r="H68" s="34">
        <v>-1.2052307567316393E-36</v>
      </c>
      <c r="I68" s="34">
        <v>3.3108295891635112E-36</v>
      </c>
    </row>
    <row r="69" spans="1:10" x14ac:dyDescent="0.2">
      <c r="A69" s="34" t="s">
        <v>66</v>
      </c>
      <c r="B69" s="34"/>
      <c r="C69" s="34"/>
      <c r="D69" s="34"/>
      <c r="E69" s="34"/>
      <c r="F69" s="34"/>
      <c r="G69" s="34"/>
      <c r="H69" s="34">
        <v>0</v>
      </c>
      <c r="I69" s="34">
        <v>0</v>
      </c>
    </row>
    <row r="70" spans="1:10" x14ac:dyDescent="0.2">
      <c r="A70" s="34" t="s">
        <v>67</v>
      </c>
      <c r="B70" s="34"/>
      <c r="C70" s="34"/>
      <c r="D70" s="34"/>
      <c r="E70" s="34"/>
      <c r="F70" s="34"/>
      <c r="G70" s="34"/>
      <c r="H70" s="34">
        <v>-1.2052307570714854E-36</v>
      </c>
      <c r="I70" s="34">
        <v>3.3108295900970852E-36</v>
      </c>
    </row>
    <row r="71" spans="1:10" x14ac:dyDescent="0.2">
      <c r="A71" s="34" t="s">
        <v>97</v>
      </c>
      <c r="B71" s="34"/>
      <c r="C71" s="34"/>
      <c r="D71" s="34"/>
      <c r="E71" s="34"/>
      <c r="F71" s="34"/>
      <c r="G71" s="34"/>
      <c r="H71" s="34">
        <v>3.7630876897517807</v>
      </c>
      <c r="I71" s="34">
        <v>3.7630876897517807</v>
      </c>
    </row>
    <row r="72" spans="1:10" x14ac:dyDescent="0.2">
      <c r="A72" s="34" t="s">
        <v>98</v>
      </c>
      <c r="B72" s="34"/>
      <c r="C72" s="34"/>
      <c r="D72" s="34"/>
      <c r="E72" s="34"/>
      <c r="F72" s="34"/>
      <c r="G72" s="34"/>
      <c r="H72" s="34">
        <v>0.92500026204274055</v>
      </c>
      <c r="I72" s="34">
        <v>0.92500026204274055</v>
      </c>
    </row>
    <row r="73" spans="1:10" x14ac:dyDescent="0.2">
      <c r="A73" s="34" t="s">
        <v>99</v>
      </c>
      <c r="B73" s="41">
        <v>10.905286554502652</v>
      </c>
      <c r="C73" s="34">
        <v>5.7535605273990456</v>
      </c>
      <c r="D73" s="34">
        <v>1.8953979023198868</v>
      </c>
      <c r="E73" s="34">
        <v>7.8876207583834318E-2</v>
      </c>
      <c r="F73" s="34">
        <v>-1.4348734727921624</v>
      </c>
      <c r="G73" s="34">
        <v>23.245446581797466</v>
      </c>
      <c r="H73" s="34">
        <v>-1.4348734727921624</v>
      </c>
      <c r="I73" s="34">
        <v>23.245446581797466</v>
      </c>
      <c r="J73" s="43" t="s">
        <v>71</v>
      </c>
    </row>
    <row r="74" spans="1:10" ht="13.5" thickBot="1" x14ac:dyDescent="0.25">
      <c r="A74" s="35" t="s">
        <v>100</v>
      </c>
      <c r="B74" s="42">
        <v>2.005302238456685E-3</v>
      </c>
      <c r="C74" s="35">
        <v>1.5260710926659336E-4</v>
      </c>
      <c r="D74" s="35">
        <v>13.140293713011561</v>
      </c>
      <c r="E74" s="35">
        <v>2.8926609363588513E-9</v>
      </c>
      <c r="F74" s="35">
        <v>1.6779925420200778E-3</v>
      </c>
      <c r="G74" s="35">
        <v>2.3326119348932922E-3</v>
      </c>
      <c r="H74" s="35">
        <v>1.6779925420200778E-3</v>
      </c>
      <c r="I74" s="35">
        <v>2.3326119348932922E-3</v>
      </c>
      <c r="J74" s="43" t="s">
        <v>72</v>
      </c>
    </row>
  </sheetData>
  <pageMargins left="0.7" right="0.7" top="0.75" bottom="0.75" header="0.3" footer="0.3"/>
  <pageSetup paperSize="9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60"/>
  <sheetViews>
    <sheetView topLeftCell="A19" workbookViewId="0">
      <selection activeCell="J18" sqref="J18"/>
    </sheetView>
  </sheetViews>
  <sheetFormatPr defaultRowHeight="12.75" x14ac:dyDescent="0.2"/>
  <cols>
    <col min="1" max="1" width="40.28515625" bestFit="1" customWidth="1"/>
  </cols>
  <sheetData>
    <row r="1" spans="1:11" ht="178.5" x14ac:dyDescent="0.2">
      <c r="A1" s="40" t="s">
        <v>168</v>
      </c>
      <c r="B1" s="39" t="s">
        <v>171</v>
      </c>
      <c r="C1" s="39" t="s">
        <v>172</v>
      </c>
      <c r="D1" s="39" t="s">
        <v>173</v>
      </c>
      <c r="E1" s="39" t="s">
        <v>174</v>
      </c>
      <c r="F1" s="39" t="s">
        <v>175</v>
      </c>
      <c r="G1" s="39" t="s">
        <v>176</v>
      </c>
      <c r="H1" s="39" t="s">
        <v>177</v>
      </c>
      <c r="I1" s="39" t="s">
        <v>178</v>
      </c>
      <c r="J1" s="39" t="s">
        <v>179</v>
      </c>
      <c r="K1" s="39" t="s">
        <v>70</v>
      </c>
    </row>
    <row r="2" spans="1:11" x14ac:dyDescent="0.2">
      <c r="A2" t="s">
        <v>34</v>
      </c>
      <c r="B2">
        <v>36240</v>
      </c>
      <c r="C2">
        <v>38740</v>
      </c>
      <c r="D2">
        <v>44850</v>
      </c>
      <c r="E2">
        <v>38490</v>
      </c>
      <c r="F2">
        <v>37490</v>
      </c>
      <c r="G2">
        <v>44490</v>
      </c>
      <c r="H2">
        <v>45490</v>
      </c>
      <c r="I2">
        <v>46490</v>
      </c>
      <c r="J2">
        <v>47550</v>
      </c>
    </row>
    <row r="3" spans="1:11" x14ac:dyDescent="0.2">
      <c r="A3" t="s">
        <v>32</v>
      </c>
      <c r="B3" s="1">
        <v>19.91</v>
      </c>
      <c r="C3" s="1">
        <v>18.28</v>
      </c>
      <c r="D3" s="1">
        <v>16.989999999999998</v>
      </c>
      <c r="E3" s="1">
        <v>18.89</v>
      </c>
      <c r="F3" s="1">
        <v>20.73</v>
      </c>
      <c r="G3" s="1">
        <v>17.14</v>
      </c>
      <c r="H3" s="1">
        <v>21.6</v>
      </c>
      <c r="I3" s="1">
        <v>20.3</v>
      </c>
      <c r="J3" s="1">
        <v>21.32</v>
      </c>
      <c r="K3" s="1">
        <f>AVERAGE(B3:J3)</f>
        <v>19.462222222222223</v>
      </c>
    </row>
    <row r="4" spans="1:11" x14ac:dyDescent="0.2">
      <c r="A4" t="s">
        <v>33</v>
      </c>
      <c r="B4" s="1">
        <f>42.16</f>
        <v>42.16</v>
      </c>
      <c r="C4" s="1">
        <f>42.97</f>
        <v>42.97</v>
      </c>
      <c r="D4" s="1">
        <f>43.86</f>
        <v>43.86</v>
      </c>
      <c r="E4" s="1">
        <f>45.71</f>
        <v>45.71</v>
      </c>
      <c r="F4" s="1">
        <f>45.14</f>
        <v>45.14</v>
      </c>
      <c r="G4" s="1">
        <f>45.89</f>
        <v>45.89</v>
      </c>
      <c r="H4" s="1">
        <f>47.67</f>
        <v>47.67</v>
      </c>
      <c r="I4" s="1">
        <f>52.33</f>
        <v>52.33</v>
      </c>
      <c r="J4" s="1">
        <f>51.74</f>
        <v>51.74</v>
      </c>
    </row>
    <row r="5" spans="1:11" x14ac:dyDescent="0.2">
      <c r="A5" s="40" t="s">
        <v>252</v>
      </c>
      <c r="B5">
        <v>82.24</v>
      </c>
      <c r="C5">
        <v>86.42</v>
      </c>
      <c r="D5">
        <v>96.6</v>
      </c>
      <c r="E5">
        <v>95.48</v>
      </c>
      <c r="F5">
        <v>93</v>
      </c>
      <c r="G5">
        <v>100.96</v>
      </c>
      <c r="H5">
        <v>103.23</v>
      </c>
      <c r="I5">
        <v>105.5</v>
      </c>
      <c r="J5">
        <v>102.42</v>
      </c>
    </row>
    <row r="6" spans="1:11" x14ac:dyDescent="0.2">
      <c r="A6" s="38"/>
    </row>
    <row r="8" spans="1:11" x14ac:dyDescent="0.2">
      <c r="A8" s="38" t="s">
        <v>68</v>
      </c>
    </row>
    <row r="9" spans="1:11" ht="13.5" thickBot="1" x14ac:dyDescent="0.25"/>
    <row r="10" spans="1:11" x14ac:dyDescent="0.2">
      <c r="A10" s="37" t="s">
        <v>35</v>
      </c>
      <c r="B10" s="37"/>
    </row>
    <row r="11" spans="1:11" x14ac:dyDescent="0.2">
      <c r="A11" s="34" t="s">
        <v>36</v>
      </c>
      <c r="B11" s="34">
        <v>0.7597300336215469</v>
      </c>
    </row>
    <row r="12" spans="1:11" x14ac:dyDescent="0.2">
      <c r="A12" s="34" t="s">
        <v>37</v>
      </c>
      <c r="B12" s="34">
        <v>0.57718972398659685</v>
      </c>
    </row>
    <row r="13" spans="1:11" x14ac:dyDescent="0.2">
      <c r="A13" s="34" t="s">
        <v>38</v>
      </c>
      <c r="B13" s="34">
        <v>-1.2857142857142858</v>
      </c>
    </row>
    <row r="14" spans="1:11" x14ac:dyDescent="0.2">
      <c r="A14" s="34" t="s">
        <v>39</v>
      </c>
      <c r="B14" s="34">
        <v>2.5040450264827139</v>
      </c>
    </row>
    <row r="15" spans="1:11" ht="13.5" thickBot="1" x14ac:dyDescent="0.25">
      <c r="A15" s="35" t="s">
        <v>40</v>
      </c>
      <c r="B15" s="35">
        <v>1</v>
      </c>
    </row>
    <row r="17" spans="1:10" ht="13.5" thickBot="1" x14ac:dyDescent="0.25">
      <c r="A17" t="s">
        <v>41</v>
      </c>
    </row>
    <row r="18" spans="1:10" x14ac:dyDescent="0.2">
      <c r="A18" s="36"/>
      <c r="B18" s="36" t="s">
        <v>44</v>
      </c>
      <c r="C18" s="36" t="s">
        <v>45</v>
      </c>
      <c r="D18" s="36" t="s">
        <v>46</v>
      </c>
      <c r="E18" s="36" t="s">
        <v>47</v>
      </c>
      <c r="F18" s="36" t="s">
        <v>48</v>
      </c>
    </row>
    <row r="19" spans="1:10" x14ac:dyDescent="0.2">
      <c r="A19" s="34" t="s">
        <v>42</v>
      </c>
      <c r="B19" s="34">
        <v>9</v>
      </c>
      <c r="C19" s="34">
        <v>59.917731759652568</v>
      </c>
      <c r="D19" s="34">
        <v>6.6575257510725079</v>
      </c>
      <c r="E19" s="34">
        <v>9.5558890053516574</v>
      </c>
      <c r="F19" s="34" t="e">
        <v>#NUM!</v>
      </c>
    </row>
    <row r="20" spans="1:10" x14ac:dyDescent="0.2">
      <c r="A20" s="34" t="s">
        <v>16</v>
      </c>
      <c r="B20" s="34">
        <v>7</v>
      </c>
      <c r="C20" s="34">
        <v>43.891690462569699</v>
      </c>
      <c r="D20" s="34">
        <v>6.2702414946528142</v>
      </c>
      <c r="E20" s="34"/>
      <c r="F20" s="34"/>
    </row>
    <row r="21" spans="1:10" ht="13.5" thickBot="1" x14ac:dyDescent="0.25">
      <c r="A21" s="35" t="s">
        <v>0</v>
      </c>
      <c r="B21" s="35">
        <v>16</v>
      </c>
      <c r="C21" s="35">
        <v>103.80942222222227</v>
      </c>
      <c r="D21" s="35"/>
      <c r="E21" s="35"/>
      <c r="F21" s="35"/>
    </row>
    <row r="22" spans="1:10" ht="13.5" thickBot="1" x14ac:dyDescent="0.25"/>
    <row r="23" spans="1:10" x14ac:dyDescent="0.2">
      <c r="A23" s="36"/>
      <c r="B23" s="36" t="s">
        <v>49</v>
      </c>
      <c r="C23" s="36" t="s">
        <v>39</v>
      </c>
      <c r="D23" s="36" t="s">
        <v>50</v>
      </c>
      <c r="E23" s="36" t="s">
        <v>51</v>
      </c>
      <c r="F23" s="36" t="s">
        <v>52</v>
      </c>
      <c r="G23" s="36" t="s">
        <v>53</v>
      </c>
      <c r="H23" s="36" t="s">
        <v>54</v>
      </c>
      <c r="I23" s="36" t="s">
        <v>55</v>
      </c>
    </row>
    <row r="24" spans="1:10" x14ac:dyDescent="0.2">
      <c r="A24" s="34" t="s">
        <v>43</v>
      </c>
      <c r="B24" s="34"/>
      <c r="C24" s="34"/>
      <c r="D24" s="34"/>
      <c r="E24" s="34"/>
      <c r="F24" s="34"/>
      <c r="G24" s="34"/>
      <c r="H24" s="34">
        <v>3.9951622046244102E-297</v>
      </c>
      <c r="I24" s="34">
        <v>3.9951622046244102E-297</v>
      </c>
    </row>
    <row r="25" spans="1:10" x14ac:dyDescent="0.2">
      <c r="A25" s="34" t="s">
        <v>56</v>
      </c>
      <c r="B25" s="34"/>
      <c r="C25" s="34"/>
      <c r="D25" s="34"/>
      <c r="E25" s="34"/>
      <c r="F25" s="34"/>
      <c r="G25" s="34"/>
      <c r="H25" s="34">
        <v>-2.4894750323489006E-36</v>
      </c>
      <c r="I25" s="34">
        <v>2.4894750323489006E-36</v>
      </c>
    </row>
    <row r="26" spans="1:10" x14ac:dyDescent="0.2">
      <c r="A26" s="34" t="s">
        <v>57</v>
      </c>
      <c r="B26" s="34"/>
      <c r="C26" s="34"/>
      <c r="D26" s="34"/>
      <c r="E26" s="34"/>
      <c r="F26" s="34"/>
      <c r="G26" s="34"/>
      <c r="H26" s="34">
        <v>-103.78735571119604</v>
      </c>
      <c r="I26" s="34">
        <v>103.78735571119604</v>
      </c>
    </row>
    <row r="27" spans="1:10" x14ac:dyDescent="0.2">
      <c r="A27" s="34" t="s">
        <v>58</v>
      </c>
      <c r="B27" s="34"/>
      <c r="C27" s="34"/>
      <c r="D27" s="34"/>
      <c r="E27" s="34"/>
      <c r="F27" s="34"/>
      <c r="G27" s="34"/>
      <c r="H27" s="34">
        <v>-141.68292161930569</v>
      </c>
      <c r="I27" s="34">
        <v>141.68292161930569</v>
      </c>
    </row>
    <row r="28" spans="1:10" x14ac:dyDescent="0.2">
      <c r="A28" s="34" t="s">
        <v>59</v>
      </c>
      <c r="B28" s="34"/>
      <c r="C28" s="34"/>
      <c r="D28" s="34"/>
      <c r="E28" s="34"/>
      <c r="F28" s="34"/>
      <c r="G28" s="34"/>
      <c r="H28" s="34">
        <v>-16.552369761149492</v>
      </c>
      <c r="I28" s="34">
        <v>16.552369761149492</v>
      </c>
    </row>
    <row r="29" spans="1:10" x14ac:dyDescent="0.2">
      <c r="A29" s="34" t="s">
        <v>60</v>
      </c>
      <c r="B29" s="34"/>
      <c r="C29" s="34"/>
      <c r="D29" s="34"/>
      <c r="E29" s="34"/>
      <c r="F29" s="34"/>
      <c r="G29" s="34"/>
      <c r="H29" s="34">
        <v>-22.596086887583386</v>
      </c>
      <c r="I29" s="34">
        <v>22.596086887583386</v>
      </c>
    </row>
    <row r="30" spans="1:10" x14ac:dyDescent="0.2">
      <c r="A30" s="34" t="s">
        <v>61</v>
      </c>
      <c r="B30" s="34"/>
      <c r="C30" s="34"/>
      <c r="D30" s="34"/>
      <c r="E30" s="34"/>
      <c r="F30" s="34"/>
      <c r="G30" s="34"/>
      <c r="H30" s="34">
        <v>-5.9211255967013221</v>
      </c>
      <c r="I30" s="34">
        <v>5.9211255967013221</v>
      </c>
    </row>
    <row r="31" spans="1:10" x14ac:dyDescent="0.2">
      <c r="A31" s="34" t="s">
        <v>62</v>
      </c>
      <c r="B31" s="34"/>
      <c r="C31" s="34"/>
      <c r="D31" s="34"/>
      <c r="E31" s="34"/>
      <c r="F31" s="34"/>
      <c r="G31" s="34"/>
      <c r="H31" s="34">
        <v>-1.3648368191088527</v>
      </c>
      <c r="I31" s="34">
        <v>1.3648368191088527</v>
      </c>
    </row>
    <row r="32" spans="1:10" x14ac:dyDescent="0.2">
      <c r="A32" s="34" t="s">
        <v>63</v>
      </c>
      <c r="B32" s="41">
        <v>20.02300872254775</v>
      </c>
      <c r="C32" s="34">
        <v>8.5688404275228311</v>
      </c>
      <c r="D32" s="34">
        <v>2.3367232581709083</v>
      </c>
      <c r="E32" s="34">
        <v>5.2095656698789253E-2</v>
      </c>
      <c r="F32" s="34">
        <v>-0.23907916040142396</v>
      </c>
      <c r="G32" s="34">
        <v>40.285096605496925</v>
      </c>
      <c r="H32" s="34">
        <v>-0.23907916040142396</v>
      </c>
      <c r="I32" s="34">
        <v>40.285096605496925</v>
      </c>
      <c r="J32" s="43" t="s">
        <v>71</v>
      </c>
    </row>
    <row r="33" spans="1:10" ht="13.5" thickBot="1" x14ac:dyDescent="0.25">
      <c r="A33" s="35" t="s">
        <v>64</v>
      </c>
      <c r="B33" s="42">
        <v>6.2465556037456294E-4</v>
      </c>
      <c r="C33" s="35">
        <v>2.0207149841286947E-4</v>
      </c>
      <c r="D33" s="35">
        <v>3.0912600999190691</v>
      </c>
      <c r="E33" s="35">
        <v>1.7535956845895002E-2</v>
      </c>
      <c r="F33" s="35">
        <v>1.4683239467179883E-4</v>
      </c>
      <c r="G33" s="35">
        <v>1.102478726077327E-3</v>
      </c>
      <c r="H33" s="35">
        <v>1.4683239467179883E-4</v>
      </c>
      <c r="I33" s="35">
        <v>1.102478726077327E-3</v>
      </c>
      <c r="J33" s="43" t="s">
        <v>72</v>
      </c>
    </row>
    <row r="35" spans="1:10" x14ac:dyDescent="0.2">
      <c r="A35" s="38" t="s">
        <v>253</v>
      </c>
    </row>
    <row r="36" spans="1:10" ht="13.5" thickBot="1" x14ac:dyDescent="0.25"/>
    <row r="37" spans="1:10" x14ac:dyDescent="0.2">
      <c r="A37" s="37" t="s">
        <v>35</v>
      </c>
      <c r="B37" s="37"/>
    </row>
    <row r="38" spans="1:10" x14ac:dyDescent="0.2">
      <c r="A38" s="34" t="s">
        <v>36</v>
      </c>
      <c r="B38" s="34">
        <v>0.87827493379354515</v>
      </c>
    </row>
    <row r="39" spans="1:10" x14ac:dyDescent="0.2">
      <c r="A39" s="34" t="s">
        <v>37</v>
      </c>
      <c r="B39" s="34">
        <v>0.77136685933005611</v>
      </c>
    </row>
    <row r="40" spans="1:10" x14ac:dyDescent="0.2">
      <c r="A40" s="34" t="s">
        <v>38</v>
      </c>
      <c r="B40" s="34">
        <v>-1.2857142857142858</v>
      </c>
    </row>
    <row r="41" spans="1:10" x14ac:dyDescent="0.2">
      <c r="A41" s="34" t="s">
        <v>39</v>
      </c>
      <c r="B41" s="34">
        <v>4.0359190048955726</v>
      </c>
    </row>
    <row r="42" spans="1:10" ht="13.5" thickBot="1" x14ac:dyDescent="0.25">
      <c r="A42" s="35" t="s">
        <v>40</v>
      </c>
      <c r="B42" s="35">
        <v>1</v>
      </c>
    </row>
    <row r="44" spans="1:10" ht="13.5" thickBot="1" x14ac:dyDescent="0.25">
      <c r="A44" t="s">
        <v>41</v>
      </c>
    </row>
    <row r="45" spans="1:10" x14ac:dyDescent="0.2">
      <c r="A45" s="36"/>
      <c r="B45" s="36" t="s">
        <v>44</v>
      </c>
      <c r="C45" s="36" t="s">
        <v>45</v>
      </c>
      <c r="D45" s="36" t="s">
        <v>46</v>
      </c>
      <c r="E45" s="36" t="s">
        <v>47</v>
      </c>
      <c r="F45" s="36" t="s">
        <v>48</v>
      </c>
    </row>
    <row r="46" spans="1:10" x14ac:dyDescent="0.2">
      <c r="A46" s="34" t="s">
        <v>42</v>
      </c>
      <c r="B46" s="34">
        <v>9</v>
      </c>
      <c r="C46" s="34">
        <v>384.68452672368153</v>
      </c>
      <c r="D46" s="34">
        <v>42.742725191520172</v>
      </c>
      <c r="E46" s="34">
        <v>23.616733774852175</v>
      </c>
      <c r="F46" s="34" t="e">
        <v>#NUM!</v>
      </c>
    </row>
    <row r="47" spans="1:10" x14ac:dyDescent="0.2">
      <c r="A47" s="34" t="s">
        <v>16</v>
      </c>
      <c r="B47" s="34">
        <v>7</v>
      </c>
      <c r="C47" s="34">
        <v>114.02049549854087</v>
      </c>
      <c r="D47" s="34">
        <v>16.288642214077267</v>
      </c>
      <c r="E47" s="34"/>
      <c r="F47" s="34"/>
    </row>
    <row r="48" spans="1:10" ht="13.5" thickBot="1" x14ac:dyDescent="0.25">
      <c r="A48" s="35" t="s">
        <v>0</v>
      </c>
      <c r="B48" s="35">
        <v>16</v>
      </c>
      <c r="C48" s="35">
        <v>498.7050222222224</v>
      </c>
      <c r="D48" s="35"/>
      <c r="E48" s="35"/>
      <c r="F48" s="35"/>
    </row>
    <row r="49" spans="1:10" ht="13.5" thickBot="1" x14ac:dyDescent="0.25"/>
    <row r="50" spans="1:10" x14ac:dyDescent="0.2">
      <c r="A50" s="36"/>
      <c r="B50" s="36" t="s">
        <v>49</v>
      </c>
      <c r="C50" s="36" t="s">
        <v>39</v>
      </c>
      <c r="D50" s="36" t="s">
        <v>50</v>
      </c>
      <c r="E50" s="36" t="s">
        <v>51</v>
      </c>
      <c r="F50" s="36" t="s">
        <v>52</v>
      </c>
      <c r="G50" s="36" t="s">
        <v>53</v>
      </c>
      <c r="H50" s="36" t="s">
        <v>54</v>
      </c>
      <c r="I50" s="36" t="s">
        <v>55</v>
      </c>
    </row>
    <row r="51" spans="1:10" x14ac:dyDescent="0.2">
      <c r="A51" s="34" t="s">
        <v>43</v>
      </c>
      <c r="B51" s="34"/>
      <c r="C51" s="34"/>
      <c r="D51" s="34"/>
      <c r="E51" s="34"/>
      <c r="F51" s="34"/>
      <c r="G51" s="34"/>
      <c r="H51" s="34">
        <v>-6.3002578882825302E-297</v>
      </c>
      <c r="I51" s="34">
        <v>6.3002578882825302E-297</v>
      </c>
    </row>
    <row r="52" spans="1:10" x14ac:dyDescent="0.2">
      <c r="A52" s="34" t="s">
        <v>56</v>
      </c>
      <c r="B52" s="34"/>
      <c r="C52" s="34"/>
      <c r="D52" s="34"/>
      <c r="E52" s="34"/>
      <c r="F52" s="34"/>
      <c r="G52" s="34"/>
      <c r="H52" s="34">
        <v>0</v>
      </c>
      <c r="I52" s="34">
        <v>0</v>
      </c>
    </row>
    <row r="53" spans="1:10" x14ac:dyDescent="0.2">
      <c r="A53" s="34" t="s">
        <v>57</v>
      </c>
      <c r="B53" s="34"/>
      <c r="C53" s="34"/>
      <c r="D53" s="34"/>
      <c r="E53" s="34"/>
      <c r="F53" s="34"/>
      <c r="G53" s="34"/>
      <c r="H53" s="34">
        <v>65535</v>
      </c>
      <c r="I53" s="34">
        <v>65535</v>
      </c>
    </row>
    <row r="54" spans="1:10" x14ac:dyDescent="0.2">
      <c r="A54" s="34" t="s">
        <v>58</v>
      </c>
      <c r="B54" s="34"/>
      <c r="C54" s="34"/>
      <c r="D54" s="34"/>
      <c r="E54" s="34"/>
      <c r="F54" s="34"/>
      <c r="G54" s="34"/>
      <c r="H54" s="34">
        <v>-2.4894750323489006E-36</v>
      </c>
      <c r="I54" s="34">
        <v>2.4894750323489006E-36</v>
      </c>
    </row>
    <row r="55" spans="1:10" x14ac:dyDescent="0.2">
      <c r="A55" s="34" t="s">
        <v>59</v>
      </c>
      <c r="B55" s="34"/>
      <c r="C55" s="34"/>
      <c r="D55" s="34"/>
      <c r="E55" s="34"/>
      <c r="F55" s="34"/>
      <c r="G55" s="34"/>
      <c r="H55" s="34">
        <v>-2.2687151509302229E-36</v>
      </c>
      <c r="I55" s="34">
        <v>2.2687151509302229E-36</v>
      </c>
    </row>
    <row r="56" spans="1:10" x14ac:dyDescent="0.2">
      <c r="A56" s="34" t="s">
        <v>60</v>
      </c>
      <c r="B56" s="34"/>
      <c r="C56" s="34"/>
      <c r="D56" s="34"/>
      <c r="E56" s="34"/>
      <c r="F56" s="34"/>
      <c r="G56" s="34"/>
      <c r="H56" s="34">
        <v>1.0527994165128001E-36</v>
      </c>
      <c r="I56" s="34">
        <v>1.0527994165128001E-36</v>
      </c>
    </row>
    <row r="57" spans="1:10" x14ac:dyDescent="0.2">
      <c r="A57" s="34" t="s">
        <v>61</v>
      </c>
      <c r="B57" s="34"/>
      <c r="C57" s="34"/>
      <c r="D57" s="34"/>
      <c r="E57" s="34"/>
      <c r="F57" s="34"/>
      <c r="G57" s="34"/>
      <c r="H57" s="34">
        <v>0</v>
      </c>
      <c r="I57" s="34">
        <v>0</v>
      </c>
    </row>
    <row r="58" spans="1:10" x14ac:dyDescent="0.2">
      <c r="A58" s="34" t="s">
        <v>62</v>
      </c>
      <c r="B58" s="34"/>
      <c r="C58" s="34"/>
      <c r="D58" s="34"/>
      <c r="E58" s="34"/>
      <c r="F58" s="34"/>
      <c r="G58" s="34"/>
      <c r="H58" s="34">
        <v>1.0527994162159361E-36</v>
      </c>
      <c r="I58" s="34">
        <v>1.0527994162159361E-36</v>
      </c>
    </row>
    <row r="59" spans="1:10" x14ac:dyDescent="0.2">
      <c r="A59" s="34" t="s">
        <v>63</v>
      </c>
      <c r="B59" s="41">
        <v>29.407773719971118</v>
      </c>
      <c r="C59" s="34">
        <v>13.810912170350955</v>
      </c>
      <c r="D59" s="34">
        <v>2.1293143680330728</v>
      </c>
      <c r="E59" s="34">
        <v>7.0741784378950748E-2</v>
      </c>
      <c r="F59" s="34">
        <v>-3.2498441346586944</v>
      </c>
      <c r="G59" s="34">
        <v>62.06539157460093</v>
      </c>
      <c r="H59" s="34">
        <v>-3.2498441346586944</v>
      </c>
      <c r="I59" s="34">
        <v>62.06539157460093</v>
      </c>
      <c r="J59" s="43" t="s">
        <v>71</v>
      </c>
    </row>
    <row r="60" spans="1:10" ht="13.5" thickBot="1" x14ac:dyDescent="0.25">
      <c r="A60" s="35" t="s">
        <v>64</v>
      </c>
      <c r="B60" s="42">
        <v>1.5827608048870811E-3</v>
      </c>
      <c r="C60" s="35">
        <v>3.2569070929917458E-4</v>
      </c>
      <c r="D60" s="35">
        <v>4.8597051119231676</v>
      </c>
      <c r="E60" s="35">
        <v>1.8357747074216558E-3</v>
      </c>
      <c r="F60" s="35">
        <v>8.1262465515979715E-4</v>
      </c>
      <c r="G60" s="35">
        <v>2.3528969546143651E-3</v>
      </c>
      <c r="H60" s="35">
        <v>8.1262465515979715E-4</v>
      </c>
      <c r="I60" s="35">
        <v>2.3528969546143651E-3</v>
      </c>
      <c r="J60" s="43" t="s">
        <v>72</v>
      </c>
    </row>
  </sheetData>
  <pageMargins left="0.7" right="0.7" top="0.75" bottom="0.75" header="0.3" footer="0.3"/>
  <pageSetup paperSize="9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68"/>
  <sheetViews>
    <sheetView workbookViewId="0">
      <selection activeCell="B72" sqref="B72"/>
    </sheetView>
  </sheetViews>
  <sheetFormatPr defaultRowHeight="12.75" x14ac:dyDescent="0.2"/>
  <cols>
    <col min="1" max="1" width="40.28515625" bestFit="1" customWidth="1"/>
  </cols>
  <sheetData>
    <row r="1" spans="1:15" ht="178.5" x14ac:dyDescent="0.2">
      <c r="A1" s="40" t="s">
        <v>180</v>
      </c>
      <c r="B1" s="39" t="s">
        <v>181</v>
      </c>
      <c r="C1" s="39" t="s">
        <v>182</v>
      </c>
      <c r="D1" s="39" t="s">
        <v>183</v>
      </c>
      <c r="E1" s="39" t="s">
        <v>184</v>
      </c>
      <c r="F1" s="39" t="s">
        <v>185</v>
      </c>
      <c r="G1" s="39" t="s">
        <v>186</v>
      </c>
      <c r="H1" s="39" t="s">
        <v>187</v>
      </c>
      <c r="I1" s="39" t="s">
        <v>188</v>
      </c>
      <c r="J1" s="39" t="s">
        <v>189</v>
      </c>
      <c r="K1" s="39" t="s">
        <v>190</v>
      </c>
      <c r="L1" s="39" t="s">
        <v>191</v>
      </c>
      <c r="M1" s="39" t="s">
        <v>192</v>
      </c>
      <c r="N1" s="39" t="s">
        <v>193</v>
      </c>
      <c r="O1" s="39" t="s">
        <v>70</v>
      </c>
    </row>
    <row r="2" spans="1:15" x14ac:dyDescent="0.2">
      <c r="A2" t="s">
        <v>34</v>
      </c>
      <c r="B2">
        <v>45000</v>
      </c>
      <c r="C2">
        <v>49100</v>
      </c>
      <c r="D2">
        <v>47990</v>
      </c>
      <c r="E2">
        <v>49990</v>
      </c>
      <c r="F2">
        <v>54990</v>
      </c>
      <c r="G2">
        <v>53990</v>
      </c>
      <c r="H2">
        <v>52500</v>
      </c>
      <c r="I2">
        <v>63230</v>
      </c>
      <c r="J2">
        <v>59000</v>
      </c>
      <c r="K2">
        <v>62210</v>
      </c>
      <c r="L2">
        <v>88830</v>
      </c>
      <c r="M2">
        <v>69990</v>
      </c>
      <c r="N2">
        <v>83730</v>
      </c>
    </row>
    <row r="3" spans="1:15" x14ac:dyDescent="0.2">
      <c r="A3" t="s">
        <v>32</v>
      </c>
      <c r="B3" s="1">
        <v>18.53</v>
      </c>
      <c r="C3" s="1">
        <v>17.84</v>
      </c>
      <c r="D3" s="1">
        <v>17.920000000000002</v>
      </c>
      <c r="E3" s="1">
        <v>20.25</v>
      </c>
      <c r="F3" s="1">
        <v>19.23</v>
      </c>
      <c r="G3" s="1">
        <v>21.63</v>
      </c>
      <c r="H3" s="1">
        <v>23.78</v>
      </c>
      <c r="I3" s="1">
        <v>19.98</v>
      </c>
      <c r="J3" s="1">
        <v>22.52</v>
      </c>
      <c r="K3" s="1">
        <v>24.6</v>
      </c>
      <c r="L3" s="1">
        <v>21.73</v>
      </c>
      <c r="M3" s="1">
        <v>29</v>
      </c>
      <c r="N3" s="1">
        <v>26.57</v>
      </c>
      <c r="O3" s="1">
        <f>AVERAGE(B3:N3)</f>
        <v>21.813846153846153</v>
      </c>
    </row>
    <row r="4" spans="1:15" x14ac:dyDescent="0.2">
      <c r="A4" t="s">
        <v>33</v>
      </c>
      <c r="B4" s="1">
        <f>42.31</f>
        <v>42.31</v>
      </c>
      <c r="C4" s="1">
        <f>44.22</f>
        <v>44.22</v>
      </c>
      <c r="D4" s="1">
        <f>48.33</f>
        <v>48.33</v>
      </c>
      <c r="E4" s="1">
        <f>51.85</f>
        <v>51.85</v>
      </c>
      <c r="F4" s="1">
        <f>49.34</f>
        <v>49.34</v>
      </c>
      <c r="G4" s="1">
        <f>44.44</f>
        <v>44.44</v>
      </c>
      <c r="H4" s="1">
        <f>52.03</f>
        <v>52.03</v>
      </c>
      <c r="I4" s="1">
        <f>58.89</f>
        <v>58.89</v>
      </c>
      <c r="J4" s="1">
        <f>52.22</f>
        <v>52.22</v>
      </c>
      <c r="K4" s="1">
        <f>57.7</f>
        <v>57.7</v>
      </c>
      <c r="L4" s="1">
        <f>73.11</f>
        <v>73.11</v>
      </c>
      <c r="M4" s="1">
        <f>64.89</f>
        <v>64.89</v>
      </c>
      <c r="N4" s="1">
        <f>70.72</f>
        <v>70.72</v>
      </c>
    </row>
    <row r="5" spans="1:15" x14ac:dyDescent="0.2">
      <c r="A5" s="40" t="s">
        <v>252</v>
      </c>
      <c r="B5">
        <v>96.92</v>
      </c>
      <c r="C5">
        <v>116.14</v>
      </c>
      <c r="D5">
        <v>113.51</v>
      </c>
      <c r="E5">
        <v>103.83</v>
      </c>
      <c r="F5">
        <v>112.1</v>
      </c>
      <c r="G5">
        <v>124.59</v>
      </c>
      <c r="H5">
        <v>121.15</v>
      </c>
      <c r="I5">
        <v>128.88999999999999</v>
      </c>
      <c r="J5">
        <v>136.15</v>
      </c>
      <c r="K5">
        <v>131.6</v>
      </c>
      <c r="L5">
        <v>131.54</v>
      </c>
      <c r="M5">
        <v>139.97999999999999</v>
      </c>
      <c r="N5">
        <v>161.02000000000001</v>
      </c>
    </row>
    <row r="6" spans="1:15" x14ac:dyDescent="0.2">
      <c r="A6" s="38"/>
    </row>
    <row r="8" spans="1:15" x14ac:dyDescent="0.2">
      <c r="A8" s="38" t="s">
        <v>68</v>
      </c>
    </row>
    <row r="9" spans="1:15" ht="13.5" thickBot="1" x14ac:dyDescent="0.25"/>
    <row r="10" spans="1:15" x14ac:dyDescent="0.2">
      <c r="A10" s="37" t="s">
        <v>35</v>
      </c>
      <c r="B10" s="37"/>
    </row>
    <row r="11" spans="1:15" x14ac:dyDescent="0.2">
      <c r="A11" s="34" t="s">
        <v>36</v>
      </c>
      <c r="B11" s="34">
        <v>0.95582459461281843</v>
      </c>
    </row>
    <row r="12" spans="1:15" x14ac:dyDescent="0.2">
      <c r="A12" s="34" t="s">
        <v>37</v>
      </c>
      <c r="B12" s="34">
        <v>0.91360065566675863</v>
      </c>
    </row>
    <row r="13" spans="1:15" x14ac:dyDescent="0.2">
      <c r="A13" s="34" t="s">
        <v>38</v>
      </c>
      <c r="B13" s="34">
        <v>-1.1818181818181819</v>
      </c>
    </row>
    <row r="14" spans="1:15" x14ac:dyDescent="0.2">
      <c r="A14" s="34" t="s">
        <v>39</v>
      </c>
      <c r="B14" s="34">
        <v>3.0510804310319095</v>
      </c>
    </row>
    <row r="15" spans="1:15" ht="13.5" thickBot="1" x14ac:dyDescent="0.25">
      <c r="A15" s="35" t="s">
        <v>40</v>
      </c>
      <c r="B15" s="35">
        <v>1</v>
      </c>
    </row>
    <row r="17" spans="1:9" ht="13.5" thickBot="1" x14ac:dyDescent="0.25">
      <c r="A17" t="s">
        <v>41</v>
      </c>
    </row>
    <row r="18" spans="1:9" x14ac:dyDescent="0.2">
      <c r="A18" s="36"/>
      <c r="B18" s="36" t="s">
        <v>44</v>
      </c>
      <c r="C18" s="36" t="s">
        <v>45</v>
      </c>
      <c r="D18" s="36" t="s">
        <v>46</v>
      </c>
      <c r="E18" s="36" t="s">
        <v>47</v>
      </c>
      <c r="F18" s="36" t="s">
        <v>48</v>
      </c>
    </row>
    <row r="19" spans="1:9" x14ac:dyDescent="0.2">
      <c r="A19" s="34" t="s">
        <v>42</v>
      </c>
      <c r="B19" s="34">
        <v>13</v>
      </c>
      <c r="C19" s="34">
        <v>1082.7942825448076</v>
      </c>
      <c r="D19" s="34">
        <v>83.291867888062129</v>
      </c>
      <c r="E19" s="34">
        <v>116.31578098061865</v>
      </c>
      <c r="F19" s="34" t="e">
        <v>#NUM!</v>
      </c>
    </row>
    <row r="20" spans="1:9" x14ac:dyDescent="0.2">
      <c r="A20" s="34" t="s">
        <v>16</v>
      </c>
      <c r="B20" s="34">
        <v>11</v>
      </c>
      <c r="C20" s="34">
        <v>102.40000976288448</v>
      </c>
      <c r="D20" s="34">
        <v>9.3090917966258626</v>
      </c>
      <c r="E20" s="34"/>
      <c r="F20" s="34"/>
    </row>
    <row r="21" spans="1:9" ht="13.5" thickBot="1" x14ac:dyDescent="0.25">
      <c r="A21" s="35" t="s">
        <v>0</v>
      </c>
      <c r="B21" s="35">
        <v>24</v>
      </c>
      <c r="C21" s="35">
        <v>1185.1942923076922</v>
      </c>
      <c r="D21" s="35"/>
      <c r="E21" s="35"/>
      <c r="F21" s="35"/>
    </row>
    <row r="22" spans="1:9" ht="13.5" thickBot="1" x14ac:dyDescent="0.25"/>
    <row r="23" spans="1:9" x14ac:dyDescent="0.2">
      <c r="A23" s="36"/>
      <c r="B23" s="36" t="s">
        <v>49</v>
      </c>
      <c r="C23" s="36" t="s">
        <v>39</v>
      </c>
      <c r="D23" s="36" t="s">
        <v>50</v>
      </c>
      <c r="E23" s="36" t="s">
        <v>51</v>
      </c>
      <c r="F23" s="36" t="s">
        <v>52</v>
      </c>
      <c r="G23" s="36" t="s">
        <v>53</v>
      </c>
      <c r="H23" s="36" t="s">
        <v>54</v>
      </c>
      <c r="I23" s="36" t="s">
        <v>55</v>
      </c>
    </row>
    <row r="24" spans="1:9" x14ac:dyDescent="0.2">
      <c r="A24" s="34" t="s">
        <v>43</v>
      </c>
      <c r="B24" s="34"/>
      <c r="C24" s="34"/>
      <c r="D24" s="34"/>
      <c r="E24" s="34"/>
      <c r="F24" s="34"/>
      <c r="G24" s="34"/>
      <c r="H24" s="34">
        <v>65535</v>
      </c>
      <c r="I24" s="34">
        <v>65535</v>
      </c>
    </row>
    <row r="25" spans="1:9" x14ac:dyDescent="0.2">
      <c r="A25" s="34" t="s">
        <v>56</v>
      </c>
      <c r="B25" s="34"/>
      <c r="C25" s="34"/>
      <c r="D25" s="34"/>
      <c r="E25" s="34"/>
      <c r="F25" s="34"/>
      <c r="G25" s="34"/>
      <c r="H25" s="34">
        <v>-2.3171958916444156E-36</v>
      </c>
      <c r="I25" s="34">
        <v>2.3171958916444156E-36</v>
      </c>
    </row>
    <row r="26" spans="1:9" x14ac:dyDescent="0.2">
      <c r="A26" s="34" t="s">
        <v>57</v>
      </c>
      <c r="B26" s="34"/>
      <c r="C26" s="34"/>
      <c r="D26" s="34"/>
      <c r="E26" s="34"/>
      <c r="F26" s="34"/>
      <c r="G26" s="34"/>
      <c r="H26" s="34">
        <v>8.1246317350454017E-297</v>
      </c>
      <c r="I26" s="34">
        <v>8.1246317350454017E-297</v>
      </c>
    </row>
    <row r="27" spans="1:9" x14ac:dyDescent="0.2">
      <c r="A27" s="34" t="s">
        <v>58</v>
      </c>
      <c r="B27" s="34"/>
      <c r="C27" s="34"/>
      <c r="D27" s="34"/>
      <c r="E27" s="34"/>
      <c r="F27" s="34"/>
      <c r="G27" s="34"/>
      <c r="H27" s="34">
        <v>8.1246314775316285E-297</v>
      </c>
      <c r="I27" s="34">
        <v>8.1246314775316285E-297</v>
      </c>
    </row>
    <row r="28" spans="1:9" x14ac:dyDescent="0.2">
      <c r="A28" s="34" t="s">
        <v>59</v>
      </c>
      <c r="B28" s="34"/>
      <c r="C28" s="34"/>
      <c r="D28" s="34"/>
      <c r="E28" s="34"/>
      <c r="F28" s="34"/>
      <c r="G28" s="34"/>
      <c r="H28" s="34">
        <v>-24.210836761008022</v>
      </c>
      <c r="I28" s="34">
        <v>24.210836761008022</v>
      </c>
    </row>
    <row r="29" spans="1:9" x14ac:dyDescent="0.2">
      <c r="A29" s="34" t="s">
        <v>60</v>
      </c>
      <c r="B29" s="34"/>
      <c r="C29" s="34"/>
      <c r="D29" s="34"/>
      <c r="E29" s="34"/>
      <c r="F29" s="34"/>
      <c r="G29" s="34"/>
      <c r="H29" s="34">
        <v>-256.00930782281091</v>
      </c>
      <c r="I29" s="34">
        <v>256.00930782281091</v>
      </c>
    </row>
    <row r="30" spans="1:9" x14ac:dyDescent="0.2">
      <c r="A30" s="34" t="s">
        <v>61</v>
      </c>
      <c r="B30" s="34"/>
      <c r="C30" s="34"/>
      <c r="D30" s="34"/>
      <c r="E30" s="34"/>
      <c r="F30" s="34"/>
      <c r="G30" s="34"/>
      <c r="H30" s="34">
        <v>65535</v>
      </c>
      <c r="I30" s="34">
        <v>65535</v>
      </c>
    </row>
    <row r="31" spans="1:9" x14ac:dyDescent="0.2">
      <c r="A31" s="34" t="s">
        <v>62</v>
      </c>
      <c r="B31" s="34"/>
      <c r="C31" s="34"/>
      <c r="D31" s="34"/>
      <c r="E31" s="34"/>
      <c r="F31" s="34"/>
      <c r="G31" s="34"/>
      <c r="H31" s="34">
        <v>-1.671382778780471E-287</v>
      </c>
      <c r="I31" s="34">
        <v>1.6713827933704448E-287</v>
      </c>
    </row>
    <row r="32" spans="1:9" x14ac:dyDescent="0.2">
      <c r="A32" s="34" t="s">
        <v>63</v>
      </c>
      <c r="B32" s="34"/>
      <c r="C32" s="34"/>
      <c r="D32" s="34"/>
      <c r="E32" s="34"/>
      <c r="F32" s="34"/>
      <c r="G32" s="34"/>
      <c r="H32" s="34">
        <v>-2.1665974785985606E-36</v>
      </c>
      <c r="I32" s="34">
        <v>2.1665974785985606E-36</v>
      </c>
    </row>
    <row r="33" spans="1:10" x14ac:dyDescent="0.2">
      <c r="A33" s="34" t="s">
        <v>64</v>
      </c>
      <c r="B33" s="34"/>
      <c r="C33" s="34"/>
      <c r="D33" s="34"/>
      <c r="E33" s="34"/>
      <c r="F33" s="34"/>
      <c r="G33" s="34"/>
      <c r="H33" s="34">
        <v>6.1074767980460981E-296</v>
      </c>
      <c r="I33" s="34">
        <v>7.7938207744620104E-296</v>
      </c>
    </row>
    <row r="34" spans="1:10" x14ac:dyDescent="0.2">
      <c r="A34" s="34" t="s">
        <v>65</v>
      </c>
      <c r="B34" s="34"/>
      <c r="C34" s="34"/>
      <c r="D34" s="34"/>
      <c r="E34" s="34"/>
      <c r="F34" s="34"/>
      <c r="G34" s="34"/>
      <c r="H34" s="34">
        <v>65535</v>
      </c>
      <c r="I34" s="34">
        <v>65535</v>
      </c>
    </row>
    <row r="35" spans="1:10" x14ac:dyDescent="0.2">
      <c r="A35" s="34" t="s">
        <v>66</v>
      </c>
      <c r="B35" s="34"/>
      <c r="C35" s="34"/>
      <c r="D35" s="34"/>
      <c r="E35" s="34"/>
      <c r="F35" s="34"/>
      <c r="G35" s="34"/>
      <c r="H35" s="34">
        <v>-2.0108214853725266</v>
      </c>
      <c r="I35" s="34">
        <v>2.0108214853725266</v>
      </c>
    </row>
    <row r="36" spans="1:10" x14ac:dyDescent="0.2">
      <c r="A36" s="34" t="s">
        <v>67</v>
      </c>
      <c r="B36" s="41">
        <v>12.649511452023837</v>
      </c>
      <c r="C36" s="34">
        <v>3.9824409566559726</v>
      </c>
      <c r="D36" s="34">
        <v>3.1763211532068869</v>
      </c>
      <c r="E36" s="34">
        <v>8.8187579745495574E-3</v>
      </c>
      <c r="F36" s="34">
        <v>3.8842180054828948</v>
      </c>
      <c r="G36" s="34">
        <v>21.414804898564782</v>
      </c>
      <c r="H36" s="34">
        <v>3.8842180054828948</v>
      </c>
      <c r="I36" s="34">
        <v>21.414804898564782</v>
      </c>
      <c r="J36" s="43" t="s">
        <v>71</v>
      </c>
    </row>
    <row r="37" spans="1:10" ht="13.5" thickBot="1" x14ac:dyDescent="0.25">
      <c r="A37" s="35" t="s">
        <v>97</v>
      </c>
      <c r="B37" s="42">
        <v>6.9900243562063939E-4</v>
      </c>
      <c r="C37" s="35">
        <v>6.4812588761414041E-5</v>
      </c>
      <c r="D37" s="35">
        <v>10.784979414937181</v>
      </c>
      <c r="E37" s="35">
        <v>3.4570352122123843E-7</v>
      </c>
      <c r="F37" s="35">
        <v>5.5635088956964499E-4</v>
      </c>
      <c r="G37" s="35">
        <v>8.4165398167163378E-4</v>
      </c>
      <c r="H37" s="35">
        <v>5.5635088956964499E-4</v>
      </c>
      <c r="I37" s="35">
        <v>8.4165398167163378E-4</v>
      </c>
      <c r="J37" s="43" t="s">
        <v>72</v>
      </c>
    </row>
    <row r="39" spans="1:10" x14ac:dyDescent="0.2">
      <c r="A39" s="38" t="s">
        <v>253</v>
      </c>
    </row>
    <row r="40" spans="1:10" ht="13.5" thickBot="1" x14ac:dyDescent="0.25"/>
    <row r="41" spans="1:10" x14ac:dyDescent="0.2">
      <c r="A41" s="37" t="s">
        <v>35</v>
      </c>
      <c r="B41" s="37"/>
    </row>
    <row r="42" spans="1:10" x14ac:dyDescent="0.2">
      <c r="A42" s="34" t="s">
        <v>36</v>
      </c>
      <c r="B42" s="34">
        <v>0.79491422172181958</v>
      </c>
    </row>
    <row r="43" spans="1:10" x14ac:dyDescent="0.2">
      <c r="A43" s="34" t="s">
        <v>37</v>
      </c>
      <c r="B43" s="34">
        <v>0.63188861989560607</v>
      </c>
    </row>
    <row r="44" spans="1:10" x14ac:dyDescent="0.2">
      <c r="A44" s="34" t="s">
        <v>38</v>
      </c>
      <c r="B44" s="34">
        <v>-1.1818181818181819</v>
      </c>
    </row>
    <row r="45" spans="1:10" x14ac:dyDescent="0.2">
      <c r="A45" s="34" t="s">
        <v>39</v>
      </c>
      <c r="B45" s="34">
        <v>10.622410479036196</v>
      </c>
    </row>
    <row r="46" spans="1:10" ht="13.5" thickBot="1" x14ac:dyDescent="0.25">
      <c r="A46" s="35" t="s">
        <v>40</v>
      </c>
      <c r="B46" s="35">
        <v>1</v>
      </c>
    </row>
    <row r="48" spans="1:10" ht="13.5" thickBot="1" x14ac:dyDescent="0.25">
      <c r="A48" t="s">
        <v>41</v>
      </c>
    </row>
    <row r="49" spans="1:9" x14ac:dyDescent="0.2">
      <c r="A49" s="36"/>
      <c r="B49" s="36" t="s">
        <v>44</v>
      </c>
      <c r="C49" s="36" t="s">
        <v>45</v>
      </c>
      <c r="D49" s="36" t="s">
        <v>46</v>
      </c>
      <c r="E49" s="36" t="s">
        <v>47</v>
      </c>
      <c r="F49" s="36" t="s">
        <v>48</v>
      </c>
    </row>
    <row r="50" spans="1:9" x14ac:dyDescent="0.2">
      <c r="A50" s="34" t="s">
        <v>42</v>
      </c>
      <c r="B50" s="34">
        <v>13</v>
      </c>
      <c r="C50" s="34">
        <v>2130.5912286865596</v>
      </c>
      <c r="D50" s="34">
        <v>163.89163297588919</v>
      </c>
      <c r="E50" s="34">
        <v>18.882260083566209</v>
      </c>
      <c r="F50" s="34" t="e">
        <v>#NUM!</v>
      </c>
    </row>
    <row r="51" spans="1:9" x14ac:dyDescent="0.2">
      <c r="A51" s="34" t="s">
        <v>16</v>
      </c>
      <c r="B51" s="34">
        <v>11</v>
      </c>
      <c r="C51" s="34">
        <v>1241.1916482365179</v>
      </c>
      <c r="D51" s="34">
        <v>112.835604385138</v>
      </c>
      <c r="E51" s="34"/>
      <c r="F51" s="34"/>
    </row>
    <row r="52" spans="1:9" ht="13.5" thickBot="1" x14ac:dyDescent="0.25">
      <c r="A52" s="35" t="s">
        <v>0</v>
      </c>
      <c r="B52" s="35">
        <v>24</v>
      </c>
      <c r="C52" s="35">
        <v>3371.7828769230773</v>
      </c>
      <c r="D52" s="35"/>
      <c r="E52" s="35"/>
      <c r="F52" s="35"/>
    </row>
    <row r="53" spans="1:9" ht="13.5" thickBot="1" x14ac:dyDescent="0.25"/>
    <row r="54" spans="1:9" x14ac:dyDescent="0.2">
      <c r="A54" s="36"/>
      <c r="B54" s="36" t="s">
        <v>49</v>
      </c>
      <c r="C54" s="36" t="s">
        <v>39</v>
      </c>
      <c r="D54" s="36" t="s">
        <v>50</v>
      </c>
      <c r="E54" s="36" t="s">
        <v>51</v>
      </c>
      <c r="F54" s="36" t="s">
        <v>52</v>
      </c>
      <c r="G54" s="36" t="s">
        <v>53</v>
      </c>
      <c r="H54" s="36" t="s">
        <v>54</v>
      </c>
      <c r="I54" s="36" t="s">
        <v>55</v>
      </c>
    </row>
    <row r="55" spans="1:9" x14ac:dyDescent="0.2">
      <c r="A55" s="34" t="s">
        <v>43</v>
      </c>
      <c r="B55" s="34"/>
      <c r="C55" s="34"/>
      <c r="D55" s="34"/>
      <c r="E55" s="34"/>
      <c r="F55" s="34"/>
      <c r="G55" s="34"/>
      <c r="H55" s="34">
        <v>0</v>
      </c>
      <c r="I55" s="34">
        <v>0</v>
      </c>
    </row>
    <row r="56" spans="1:9" x14ac:dyDescent="0.2">
      <c r="A56" s="34" t="s">
        <v>56</v>
      </c>
      <c r="B56" s="34"/>
      <c r="C56" s="34"/>
      <c r="D56" s="34"/>
      <c r="E56" s="34"/>
      <c r="F56" s="34"/>
      <c r="G56" s="34"/>
      <c r="H56" s="34">
        <v>-1.2643964757850086E-36</v>
      </c>
      <c r="I56" s="34">
        <v>3.3699953088106084E-36</v>
      </c>
    </row>
    <row r="57" spans="1:9" x14ac:dyDescent="0.2">
      <c r="A57" s="34" t="s">
        <v>57</v>
      </c>
      <c r="B57" s="34"/>
      <c r="C57" s="34"/>
      <c r="D57" s="34"/>
      <c r="E57" s="34"/>
      <c r="F57" s="34"/>
      <c r="G57" s="34"/>
      <c r="H57" s="34">
        <v>0</v>
      </c>
      <c r="I57" s="34">
        <v>0</v>
      </c>
    </row>
    <row r="58" spans="1:9" x14ac:dyDescent="0.2">
      <c r="A58" s="34" t="s">
        <v>58</v>
      </c>
      <c r="B58" s="34"/>
      <c r="C58" s="34"/>
      <c r="D58" s="34"/>
      <c r="E58" s="34"/>
      <c r="F58" s="34"/>
      <c r="G58" s="34"/>
      <c r="H58" s="34">
        <v>-1.2643964751316155E-36</v>
      </c>
      <c r="I58" s="34">
        <v>3.3699953081572157E-36</v>
      </c>
    </row>
    <row r="59" spans="1:9" x14ac:dyDescent="0.2">
      <c r="A59" s="34" t="s">
        <v>59</v>
      </c>
      <c r="B59" s="34"/>
      <c r="C59" s="34"/>
      <c r="D59" s="34"/>
      <c r="E59" s="34"/>
      <c r="F59" s="34"/>
      <c r="G59" s="34"/>
      <c r="H59" s="34">
        <v>0</v>
      </c>
      <c r="I59" s="34">
        <v>0</v>
      </c>
    </row>
    <row r="60" spans="1:9" x14ac:dyDescent="0.2">
      <c r="A60" s="34" t="s">
        <v>60</v>
      </c>
      <c r="B60" s="34"/>
      <c r="C60" s="34"/>
      <c r="D60" s="34"/>
      <c r="E60" s="34"/>
      <c r="F60" s="34"/>
      <c r="G60" s="34"/>
      <c r="H60" s="34">
        <v>-1.2643964760818726E-36</v>
      </c>
      <c r="I60" s="34">
        <v>3.3699953085137444E-36</v>
      </c>
    </row>
    <row r="61" spans="1:9" x14ac:dyDescent="0.2">
      <c r="A61" s="34" t="s">
        <v>61</v>
      </c>
      <c r="B61" s="34"/>
      <c r="C61" s="34"/>
      <c r="D61" s="34"/>
      <c r="E61" s="34"/>
      <c r="F61" s="34"/>
      <c r="G61" s="34"/>
      <c r="H61" s="34">
        <v>0</v>
      </c>
      <c r="I61" s="34">
        <v>0</v>
      </c>
    </row>
    <row r="62" spans="1:9" x14ac:dyDescent="0.2">
      <c r="A62" s="34" t="s">
        <v>62</v>
      </c>
      <c r="B62" s="34"/>
      <c r="C62" s="34"/>
      <c r="D62" s="34"/>
      <c r="E62" s="34"/>
      <c r="F62" s="34"/>
      <c r="G62" s="34"/>
      <c r="H62" s="34">
        <v>-1.2643964760818726E-36</v>
      </c>
      <c r="I62" s="34">
        <v>3.3699953085137444E-36</v>
      </c>
    </row>
    <row r="63" spans="1:9" x14ac:dyDescent="0.2">
      <c r="A63" s="34" t="s">
        <v>63</v>
      </c>
      <c r="B63" s="34"/>
      <c r="C63" s="34"/>
      <c r="D63" s="34"/>
      <c r="E63" s="34"/>
      <c r="F63" s="34"/>
      <c r="G63" s="34"/>
      <c r="H63" s="34">
        <v>13.8649647252393</v>
      </c>
      <c r="I63" s="34">
        <v>13.8649647252393</v>
      </c>
    </row>
    <row r="64" spans="1:9" x14ac:dyDescent="0.2">
      <c r="A64" s="34" t="s">
        <v>64</v>
      </c>
      <c r="B64" s="34"/>
      <c r="C64" s="34"/>
      <c r="D64" s="34"/>
      <c r="E64" s="34"/>
      <c r="F64" s="34"/>
      <c r="G64" s="34"/>
      <c r="H64" s="34">
        <v>2.2564659883445333E-4</v>
      </c>
      <c r="I64" s="34">
        <v>2.2564659883445333E-4</v>
      </c>
    </row>
    <row r="65" spans="1:10" x14ac:dyDescent="0.2">
      <c r="A65" s="34" t="s">
        <v>65</v>
      </c>
      <c r="B65" s="34"/>
      <c r="C65" s="34"/>
      <c r="D65" s="34"/>
      <c r="E65" s="34"/>
      <c r="F65" s="34"/>
      <c r="G65" s="34"/>
      <c r="H65" s="34">
        <v>0</v>
      </c>
      <c r="I65" s="34">
        <v>0</v>
      </c>
    </row>
    <row r="66" spans="1:10" x14ac:dyDescent="0.2">
      <c r="A66" s="34" t="s">
        <v>66</v>
      </c>
      <c r="B66" s="34"/>
      <c r="C66" s="34"/>
      <c r="D66" s="34"/>
      <c r="E66" s="34"/>
      <c r="F66" s="34"/>
      <c r="G66" s="34"/>
      <c r="H66" s="34">
        <v>-1.2643964751316155E-36</v>
      </c>
      <c r="I66" s="34">
        <v>3.3699953081572157E-36</v>
      </c>
    </row>
    <row r="67" spans="1:10" x14ac:dyDescent="0.2">
      <c r="A67" s="34" t="s">
        <v>67</v>
      </c>
      <c r="B67" s="41">
        <v>65.544331326116776</v>
      </c>
      <c r="C67" s="34">
        <v>13.8649647252393</v>
      </c>
      <c r="D67" s="34">
        <v>4.7273348778740241</v>
      </c>
      <c r="E67" s="34">
        <v>6.2202956128964808E-4</v>
      </c>
      <c r="F67" s="34">
        <v>35.027749720671039</v>
      </c>
      <c r="G67" s="34">
        <v>96.060912931562513</v>
      </c>
      <c r="H67" s="34">
        <v>35.027749720671039</v>
      </c>
      <c r="I67" s="34">
        <v>96.060912931562513</v>
      </c>
      <c r="J67" s="43" t="s">
        <v>71</v>
      </c>
    </row>
    <row r="68" spans="1:10" ht="13.5" thickBot="1" x14ac:dyDescent="0.25">
      <c r="A68" s="35" t="s">
        <v>97</v>
      </c>
      <c r="B68" s="42">
        <v>9.8051847128368687E-4</v>
      </c>
      <c r="C68" s="35">
        <v>2.2564659883445333E-4</v>
      </c>
      <c r="D68" s="35">
        <v>4.3453722606430629</v>
      </c>
      <c r="E68" s="35">
        <v>1.1643238555993094E-3</v>
      </c>
      <c r="F68" s="35">
        <v>4.8387365582390387E-4</v>
      </c>
      <c r="G68" s="35">
        <v>1.4771632867434698E-3</v>
      </c>
      <c r="H68" s="35">
        <v>4.8387365582390387E-4</v>
      </c>
      <c r="I68" s="35">
        <v>1.4771632867434698E-3</v>
      </c>
      <c r="J68" s="43" t="s">
        <v>72</v>
      </c>
    </row>
  </sheetData>
  <pageMargins left="0.7" right="0.7" top="0.75" bottom="0.75" header="0.3" footer="0.3"/>
  <pageSetup paperSize="9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0"/>
  <sheetViews>
    <sheetView workbookViewId="0">
      <selection activeCell="A58" sqref="A58"/>
    </sheetView>
  </sheetViews>
  <sheetFormatPr defaultRowHeight="12.75" x14ac:dyDescent="0.2"/>
  <cols>
    <col min="1" max="1" width="40.28515625" bestFit="1" customWidth="1"/>
  </cols>
  <sheetData>
    <row r="1" spans="1:6" ht="165.75" x14ac:dyDescent="0.2">
      <c r="A1" s="40" t="s">
        <v>194</v>
      </c>
      <c r="B1" s="39" t="s">
        <v>195</v>
      </c>
      <c r="C1" s="39" t="s">
        <v>196</v>
      </c>
      <c r="D1" s="39" t="s">
        <v>197</v>
      </c>
      <c r="E1" s="39" t="s">
        <v>198</v>
      </c>
      <c r="F1" s="39" t="s">
        <v>70</v>
      </c>
    </row>
    <row r="2" spans="1:6" x14ac:dyDescent="0.2">
      <c r="A2" t="s">
        <v>34</v>
      </c>
      <c r="B2">
        <v>33490</v>
      </c>
      <c r="C2">
        <v>35990</v>
      </c>
      <c r="D2">
        <v>38590</v>
      </c>
      <c r="E2">
        <v>41990</v>
      </c>
    </row>
    <row r="3" spans="1:6" x14ac:dyDescent="0.2">
      <c r="A3" t="s">
        <v>32</v>
      </c>
      <c r="B3" s="1">
        <v>17.260000000000002</v>
      </c>
      <c r="C3" s="1">
        <v>17.350000000000001</v>
      </c>
      <c r="D3" s="1">
        <v>16.579999999999998</v>
      </c>
      <c r="E3" s="1">
        <v>22.17</v>
      </c>
      <c r="F3" s="1">
        <f>AVERAGE(B3:E3)</f>
        <v>18.34</v>
      </c>
    </row>
    <row r="4" spans="1:6" x14ac:dyDescent="0.2">
      <c r="A4" t="s">
        <v>33</v>
      </c>
      <c r="B4" s="1">
        <f>45.43</f>
        <v>45.43</v>
      </c>
      <c r="C4" s="1">
        <f>40.09</f>
        <v>40.090000000000003</v>
      </c>
      <c r="D4" s="1">
        <f>50.84</f>
        <v>50.84</v>
      </c>
      <c r="E4" s="1">
        <f>51.45</f>
        <v>51.45</v>
      </c>
    </row>
    <row r="5" spans="1:6" x14ac:dyDescent="0.2">
      <c r="A5" s="40" t="s">
        <v>252</v>
      </c>
      <c r="B5">
        <v>81.790000000000006</v>
      </c>
      <c r="C5">
        <v>87.9</v>
      </c>
      <c r="D5">
        <v>89.05</v>
      </c>
      <c r="E5">
        <v>96.9</v>
      </c>
    </row>
    <row r="6" spans="1:6" x14ac:dyDescent="0.2">
      <c r="A6" s="38"/>
    </row>
    <row r="8" spans="1:6" x14ac:dyDescent="0.2">
      <c r="A8" s="38" t="s">
        <v>68</v>
      </c>
    </row>
    <row r="9" spans="1:6" ht="13.5" thickBot="1" x14ac:dyDescent="0.25"/>
    <row r="10" spans="1:6" x14ac:dyDescent="0.2">
      <c r="A10" s="37" t="s">
        <v>35</v>
      </c>
      <c r="B10" s="37"/>
    </row>
    <row r="11" spans="1:6" x14ac:dyDescent="0.2">
      <c r="A11" s="34" t="s">
        <v>36</v>
      </c>
      <c r="B11" s="34">
        <v>0.7050153819794065</v>
      </c>
    </row>
    <row r="12" spans="1:6" x14ac:dyDescent="0.2">
      <c r="A12" s="34" t="s">
        <v>37</v>
      </c>
      <c r="B12" s="34">
        <v>0.49704668882756853</v>
      </c>
    </row>
    <row r="13" spans="1:6" x14ac:dyDescent="0.2">
      <c r="A13" s="34" t="s">
        <v>38</v>
      </c>
      <c r="B13" s="34">
        <v>-2</v>
      </c>
    </row>
    <row r="14" spans="1:6" x14ac:dyDescent="0.2">
      <c r="A14" s="34" t="s">
        <v>39</v>
      </c>
      <c r="B14" s="34">
        <v>4.6166187166574764</v>
      </c>
    </row>
    <row r="15" spans="1:6" ht="13.5" thickBot="1" x14ac:dyDescent="0.25">
      <c r="A15" s="35" t="s">
        <v>40</v>
      </c>
      <c r="B15" s="35">
        <v>1</v>
      </c>
    </row>
    <row r="17" spans="1:10" ht="13.5" thickBot="1" x14ac:dyDescent="0.25">
      <c r="A17" t="s">
        <v>41</v>
      </c>
    </row>
    <row r="18" spans="1:10" x14ac:dyDescent="0.2">
      <c r="A18" s="36"/>
      <c r="B18" s="36" t="s">
        <v>44</v>
      </c>
      <c r="C18" s="36" t="s">
        <v>45</v>
      </c>
      <c r="D18" s="36" t="s">
        <v>46</v>
      </c>
      <c r="E18" s="36" t="s">
        <v>47</v>
      </c>
      <c r="F18" s="36" t="s">
        <v>48</v>
      </c>
    </row>
    <row r="19" spans="1:10" x14ac:dyDescent="0.2">
      <c r="A19" s="34" t="s">
        <v>42</v>
      </c>
      <c r="B19" s="34">
        <v>4</v>
      </c>
      <c r="C19" s="34">
        <v>42.12573825001575</v>
      </c>
      <c r="D19" s="34">
        <v>10.531434562503938</v>
      </c>
      <c r="E19" s="34">
        <v>1.9765122439254088</v>
      </c>
      <c r="F19" s="34" t="e">
        <v>#NUM!</v>
      </c>
    </row>
    <row r="20" spans="1:10" x14ac:dyDescent="0.2">
      <c r="A20" s="34" t="s">
        <v>16</v>
      </c>
      <c r="B20" s="34">
        <v>2</v>
      </c>
      <c r="C20" s="34">
        <v>42.626336749984254</v>
      </c>
      <c r="D20" s="34">
        <v>21.313168374992127</v>
      </c>
      <c r="E20" s="34"/>
      <c r="F20" s="34"/>
    </row>
    <row r="21" spans="1:10" ht="13.5" thickBot="1" x14ac:dyDescent="0.25">
      <c r="A21" s="35" t="s">
        <v>0</v>
      </c>
      <c r="B21" s="35">
        <v>6</v>
      </c>
      <c r="C21" s="35">
        <v>84.752075000000005</v>
      </c>
      <c r="D21" s="35"/>
      <c r="E21" s="35"/>
      <c r="F21" s="35"/>
    </row>
    <row r="22" spans="1:10" ht="13.5" thickBot="1" x14ac:dyDescent="0.25"/>
    <row r="23" spans="1:10" x14ac:dyDescent="0.2">
      <c r="A23" s="36"/>
      <c r="B23" s="36" t="s">
        <v>49</v>
      </c>
      <c r="C23" s="36" t="s">
        <v>39</v>
      </c>
      <c r="D23" s="36" t="s">
        <v>50</v>
      </c>
      <c r="E23" s="36" t="s">
        <v>51</v>
      </c>
      <c r="F23" s="36" t="s">
        <v>52</v>
      </c>
      <c r="G23" s="36" t="s">
        <v>53</v>
      </c>
      <c r="H23" s="36" t="s">
        <v>54</v>
      </c>
      <c r="I23" s="36" t="s">
        <v>55</v>
      </c>
    </row>
    <row r="24" spans="1:10" x14ac:dyDescent="0.2">
      <c r="A24" s="34" t="s">
        <v>43</v>
      </c>
      <c r="B24" s="34">
        <v>0.49704668882756853</v>
      </c>
      <c r="C24" s="34">
        <v>1.9765122439254088</v>
      </c>
      <c r="D24" s="34">
        <v>0.25147665558621579</v>
      </c>
      <c r="E24" s="34">
        <v>0.82492555911864618</v>
      </c>
      <c r="F24" s="34">
        <v>-8.0071991128813291</v>
      </c>
      <c r="G24" s="34">
        <v>9.001292490536466</v>
      </c>
      <c r="H24" s="34">
        <v>-8.0071991128813291</v>
      </c>
      <c r="I24" s="34">
        <v>9.001292490536466</v>
      </c>
    </row>
    <row r="25" spans="1:10" x14ac:dyDescent="0.2">
      <c r="A25" s="34" t="s">
        <v>56</v>
      </c>
      <c r="B25" s="34">
        <v>27.581567935302179</v>
      </c>
      <c r="C25" s="34">
        <v>4.6166187166574764</v>
      </c>
      <c r="D25" s="34">
        <v>5.9744088970968301</v>
      </c>
      <c r="E25" s="34">
        <v>2.6891300658494079E-2</v>
      </c>
      <c r="F25" s="34">
        <v>7.7178608118634209</v>
      </c>
      <c r="G25" s="34">
        <v>47.445275058740933</v>
      </c>
      <c r="H25" s="34">
        <v>7.7178608118634209</v>
      </c>
      <c r="I25" s="34">
        <v>47.445275058740933</v>
      </c>
    </row>
    <row r="26" spans="1:10" x14ac:dyDescent="0.2">
      <c r="A26" s="34" t="s">
        <v>57</v>
      </c>
      <c r="B26" s="34">
        <v>7.3263512381164305E-4</v>
      </c>
      <c r="C26" s="34">
        <v>0.49704668882756853</v>
      </c>
      <c r="D26" s="34">
        <v>1.4739764699766523E-3</v>
      </c>
      <c r="E26" s="34">
        <v>0.99895774180884911</v>
      </c>
      <c r="F26" s="34">
        <v>-2.1378866573730586</v>
      </c>
      <c r="G26" s="34">
        <v>2.1393519276206816</v>
      </c>
      <c r="H26" s="34">
        <v>-2.1378866573730586</v>
      </c>
      <c r="I26" s="34">
        <v>2.1393519276206816</v>
      </c>
    </row>
    <row r="27" spans="1:10" x14ac:dyDescent="0.2">
      <c r="A27" s="34" t="s">
        <v>58</v>
      </c>
      <c r="B27" s="41">
        <v>8.3120263804067065</v>
      </c>
      <c r="C27" s="34">
        <v>27.581567935302179</v>
      </c>
      <c r="D27" s="34">
        <v>0.30136163396889354</v>
      </c>
      <c r="E27" s="34">
        <v>0.79158462212909741</v>
      </c>
      <c r="F27" s="34">
        <v>-110.3618821871915</v>
      </c>
      <c r="G27" s="34">
        <v>126.98593494800491</v>
      </c>
      <c r="H27" s="34">
        <v>-110.3618821871915</v>
      </c>
      <c r="I27" s="34">
        <v>126.98593494800491</v>
      </c>
      <c r="J27" s="43" t="s">
        <v>71</v>
      </c>
    </row>
    <row r="28" spans="1:10" ht="13.5" thickBot="1" x14ac:dyDescent="0.25">
      <c r="A28" s="35" t="s">
        <v>59</v>
      </c>
      <c r="B28" s="42">
        <v>1.0300006296039795E-3</v>
      </c>
      <c r="C28" s="35">
        <v>7.3263512381164305E-4</v>
      </c>
      <c r="D28" s="35">
        <v>1.4058848615464248</v>
      </c>
      <c r="E28" s="35">
        <v>0.29498461802059339</v>
      </c>
      <c r="F28" s="35">
        <v>-2.1222738857745223E-3</v>
      </c>
      <c r="G28" s="35">
        <v>4.1822751449824818E-3</v>
      </c>
      <c r="H28" s="35">
        <v>-2.1222738857745223E-3</v>
      </c>
      <c r="I28" s="35">
        <v>4.1822751449824818E-3</v>
      </c>
      <c r="J28" s="43" t="s">
        <v>72</v>
      </c>
    </row>
    <row r="30" spans="1:10" x14ac:dyDescent="0.2">
      <c r="A30" s="38" t="s">
        <v>253</v>
      </c>
    </row>
    <row r="31" spans="1:10" ht="13.5" thickBot="1" x14ac:dyDescent="0.25"/>
    <row r="32" spans="1:10" x14ac:dyDescent="0.2">
      <c r="A32" s="37" t="s">
        <v>35</v>
      </c>
      <c r="B32" s="37"/>
    </row>
    <row r="33" spans="1:9" x14ac:dyDescent="0.2">
      <c r="A33" s="34" t="s">
        <v>36</v>
      </c>
      <c r="B33" s="34">
        <v>0.97580046220399697</v>
      </c>
    </row>
    <row r="34" spans="1:9" x14ac:dyDescent="0.2">
      <c r="A34" s="34" t="s">
        <v>37</v>
      </c>
      <c r="B34" s="34">
        <v>0.95218654203753406</v>
      </c>
    </row>
    <row r="35" spans="1:9" x14ac:dyDescent="0.2">
      <c r="A35" s="34" t="s">
        <v>38</v>
      </c>
      <c r="B35" s="34">
        <v>-2</v>
      </c>
    </row>
    <row r="36" spans="1:9" x14ac:dyDescent="0.2">
      <c r="A36" s="34" t="s">
        <v>39</v>
      </c>
      <c r="B36" s="34">
        <v>1.66222774511281</v>
      </c>
    </row>
    <row r="37" spans="1:9" ht="13.5" thickBot="1" x14ac:dyDescent="0.25">
      <c r="A37" s="35" t="s">
        <v>40</v>
      </c>
      <c r="B37" s="35">
        <v>1</v>
      </c>
    </row>
    <row r="39" spans="1:9" ht="13.5" thickBot="1" x14ac:dyDescent="0.25">
      <c r="A39" t="s">
        <v>41</v>
      </c>
    </row>
    <row r="40" spans="1:9" x14ac:dyDescent="0.2">
      <c r="A40" s="36"/>
      <c r="B40" s="36" t="s">
        <v>44</v>
      </c>
      <c r="C40" s="36" t="s">
        <v>45</v>
      </c>
      <c r="D40" s="36" t="s">
        <v>46</v>
      </c>
      <c r="E40" s="36" t="s">
        <v>47</v>
      </c>
      <c r="F40" s="36" t="s">
        <v>48</v>
      </c>
    </row>
    <row r="41" spans="1:9" x14ac:dyDescent="0.2">
      <c r="A41" s="34" t="s">
        <v>42</v>
      </c>
      <c r="B41" s="34">
        <v>4</v>
      </c>
      <c r="C41" s="34">
        <v>110.04819784675436</v>
      </c>
      <c r="D41" s="34">
        <v>27.512049461688591</v>
      </c>
      <c r="E41" s="34">
        <v>39.829227276764207</v>
      </c>
      <c r="F41" s="34" t="e">
        <v>#NUM!</v>
      </c>
    </row>
    <row r="42" spans="1:9" x14ac:dyDescent="0.2">
      <c r="A42" s="34" t="s">
        <v>16</v>
      </c>
      <c r="B42" s="34">
        <v>2</v>
      </c>
      <c r="C42" s="34">
        <v>5.5260021532456332</v>
      </c>
      <c r="D42" s="34">
        <v>2.7630010766228166</v>
      </c>
      <c r="E42" s="34"/>
      <c r="F42" s="34"/>
    </row>
    <row r="43" spans="1:9" ht="13.5" thickBot="1" x14ac:dyDescent="0.25">
      <c r="A43" s="35" t="s">
        <v>0</v>
      </c>
      <c r="B43" s="35">
        <v>6</v>
      </c>
      <c r="C43" s="35">
        <v>115.57419999999999</v>
      </c>
      <c r="D43" s="35"/>
      <c r="E43" s="35"/>
      <c r="F43" s="35"/>
    </row>
    <row r="44" spans="1:9" ht="13.5" thickBot="1" x14ac:dyDescent="0.25"/>
    <row r="45" spans="1:9" x14ac:dyDescent="0.2">
      <c r="A45" s="36"/>
      <c r="B45" s="36" t="s">
        <v>49</v>
      </c>
      <c r="C45" s="36" t="s">
        <v>39</v>
      </c>
      <c r="D45" s="36" t="s">
        <v>50</v>
      </c>
      <c r="E45" s="36" t="s">
        <v>51</v>
      </c>
      <c r="F45" s="36" t="s">
        <v>52</v>
      </c>
      <c r="G45" s="36" t="s">
        <v>53</v>
      </c>
      <c r="H45" s="36" t="s">
        <v>54</v>
      </c>
      <c r="I45" s="36" t="s">
        <v>55</v>
      </c>
    </row>
    <row r="46" spans="1:9" x14ac:dyDescent="0.2">
      <c r="A46" s="34" t="s">
        <v>43</v>
      </c>
      <c r="B46" s="34"/>
      <c r="C46" s="34"/>
      <c r="D46" s="34"/>
      <c r="E46" s="34"/>
      <c r="F46" s="34"/>
      <c r="G46" s="34"/>
      <c r="H46" s="34">
        <v>-1.6414616187766937E-296</v>
      </c>
      <c r="I46" s="34">
        <v>5.3500319435721103E-296</v>
      </c>
    </row>
    <row r="47" spans="1:9" x14ac:dyDescent="0.2">
      <c r="A47" s="34" t="s">
        <v>56</v>
      </c>
      <c r="B47" s="34"/>
      <c r="C47" s="34"/>
      <c r="D47" s="34"/>
      <c r="E47" s="34"/>
      <c r="F47" s="34"/>
      <c r="G47" s="34"/>
      <c r="H47" s="34">
        <v>-7.1519887449749273</v>
      </c>
      <c r="I47" s="34">
        <v>7.1519887449749273</v>
      </c>
    </row>
    <row r="48" spans="1:9" x14ac:dyDescent="0.2">
      <c r="A48" s="34" t="s">
        <v>57</v>
      </c>
      <c r="B48" s="34"/>
      <c r="C48" s="34"/>
      <c r="D48" s="34"/>
      <c r="E48" s="34"/>
      <c r="F48" s="34"/>
      <c r="G48" s="34"/>
      <c r="H48" s="34">
        <v>-4.0969280243284985</v>
      </c>
      <c r="I48" s="34">
        <v>4.0969280243284985</v>
      </c>
    </row>
    <row r="49" spans="1:10" x14ac:dyDescent="0.2">
      <c r="A49" s="34" t="s">
        <v>58</v>
      </c>
      <c r="B49" s="41">
        <v>26.456016243782656</v>
      </c>
      <c r="C49" s="34">
        <v>9.930828229403172</v>
      </c>
      <c r="D49" s="34">
        <v>2.6640291859496421</v>
      </c>
      <c r="E49" s="34">
        <v>0.11673981974759573</v>
      </c>
      <c r="F49" s="34">
        <v>-16.272888946131935</v>
      </c>
      <c r="G49" s="34">
        <v>69.184921433697241</v>
      </c>
      <c r="H49" s="34">
        <v>-16.272888946131935</v>
      </c>
      <c r="I49" s="34">
        <v>69.184921433697241</v>
      </c>
      <c r="J49" s="43" t="s">
        <v>71</v>
      </c>
    </row>
    <row r="50" spans="1:10" ht="13.5" thickBot="1" x14ac:dyDescent="0.25">
      <c r="A50" s="35" t="s">
        <v>59</v>
      </c>
      <c r="B50" s="42">
        <v>1.6647736573695145E-3</v>
      </c>
      <c r="C50" s="35">
        <v>2.6378752601981991E-4</v>
      </c>
      <c r="D50" s="35">
        <v>6.3110401105336207</v>
      </c>
      <c r="E50" s="35">
        <v>2.4199537796003069E-2</v>
      </c>
      <c r="F50" s="35">
        <v>5.2978753846647875E-4</v>
      </c>
      <c r="G50" s="35">
        <v>2.7997597762725503E-3</v>
      </c>
      <c r="H50" s="35">
        <v>5.2978753846647875E-4</v>
      </c>
      <c r="I50" s="35">
        <v>2.7997597762725503E-3</v>
      </c>
      <c r="J50" s="43" t="s">
        <v>72</v>
      </c>
    </row>
  </sheetData>
  <pageMargins left="0.7" right="0.7" top="0.75" bottom="0.75" header="0.3" footer="0.3"/>
  <pageSetup paperSize="9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8"/>
  <sheetViews>
    <sheetView workbookViewId="0"/>
  </sheetViews>
  <sheetFormatPr defaultRowHeight="12.75" x14ac:dyDescent="0.2"/>
  <cols>
    <col min="1" max="1" width="40.28515625" bestFit="1" customWidth="1"/>
  </cols>
  <sheetData>
    <row r="1" spans="1:10" ht="153" x14ac:dyDescent="0.2">
      <c r="A1" s="40" t="s">
        <v>199</v>
      </c>
      <c r="B1" s="39" t="s">
        <v>200</v>
      </c>
      <c r="C1" s="39" t="s">
        <v>201</v>
      </c>
      <c r="D1" s="39" t="s">
        <v>202</v>
      </c>
      <c r="E1" s="39" t="s">
        <v>203</v>
      </c>
      <c r="F1" s="39" t="s">
        <v>204</v>
      </c>
      <c r="G1" s="39" t="s">
        <v>205</v>
      </c>
      <c r="H1" s="39" t="s">
        <v>206</v>
      </c>
      <c r="I1" s="39" t="s">
        <v>207</v>
      </c>
      <c r="J1" s="39" t="s">
        <v>70</v>
      </c>
    </row>
    <row r="2" spans="1:10" x14ac:dyDescent="0.2">
      <c r="A2" t="s">
        <v>34</v>
      </c>
      <c r="B2">
        <v>39500</v>
      </c>
      <c r="C2">
        <v>42490</v>
      </c>
      <c r="D2">
        <v>47190</v>
      </c>
      <c r="E2">
        <v>46000</v>
      </c>
      <c r="F2">
        <v>48990</v>
      </c>
      <c r="G2">
        <v>46490</v>
      </c>
      <c r="H2">
        <v>46615</v>
      </c>
      <c r="I2">
        <v>48490</v>
      </c>
    </row>
    <row r="3" spans="1:10" x14ac:dyDescent="0.2">
      <c r="A3" t="s">
        <v>32</v>
      </c>
      <c r="B3" s="1">
        <v>17.47</v>
      </c>
      <c r="C3" s="1">
        <v>16.940000000000001</v>
      </c>
      <c r="D3" s="1">
        <v>18.309999999999999</v>
      </c>
      <c r="E3" s="1">
        <v>17.55</v>
      </c>
      <c r="F3" s="1">
        <v>18.63</v>
      </c>
      <c r="G3" s="1">
        <v>19.54</v>
      </c>
      <c r="H3" s="1">
        <v>20.65</v>
      </c>
      <c r="I3" s="1">
        <v>19.760000000000002</v>
      </c>
      <c r="J3" s="1">
        <f>AVERAGE(B3:I3)</f>
        <v>18.606249999999999</v>
      </c>
    </row>
    <row r="4" spans="1:10" x14ac:dyDescent="0.2">
      <c r="A4" t="s">
        <v>33</v>
      </c>
      <c r="B4" s="1">
        <f>44.17</f>
        <v>44.17</v>
      </c>
      <c r="C4" s="1">
        <f>50.45</f>
        <v>50.45</v>
      </c>
      <c r="D4" s="1">
        <f>52.37</f>
        <v>52.37</v>
      </c>
      <c r="E4" s="1">
        <f>45.83</f>
        <v>45.83</v>
      </c>
      <c r="F4" s="1">
        <f>53</f>
        <v>53</v>
      </c>
      <c r="G4" s="1">
        <f>51.18</f>
        <v>51.18</v>
      </c>
      <c r="H4" s="1">
        <f>49.94</f>
        <v>49.94</v>
      </c>
      <c r="I4" s="1">
        <f>56.47</f>
        <v>56.47</v>
      </c>
    </row>
    <row r="5" spans="1:10" x14ac:dyDescent="0.2">
      <c r="A5" s="40" t="s">
        <v>252</v>
      </c>
      <c r="B5">
        <v>94.95</v>
      </c>
      <c r="C5">
        <v>100.51</v>
      </c>
      <c r="D5">
        <v>103.46</v>
      </c>
      <c r="E5">
        <v>114.12</v>
      </c>
      <c r="F5">
        <v>107.4</v>
      </c>
      <c r="G5">
        <v>109.97</v>
      </c>
      <c r="H5">
        <v>110.26</v>
      </c>
      <c r="I5">
        <v>106.31</v>
      </c>
    </row>
    <row r="6" spans="1:10" x14ac:dyDescent="0.2">
      <c r="A6" s="38"/>
    </row>
    <row r="8" spans="1:10" x14ac:dyDescent="0.2">
      <c r="A8" s="38" t="s">
        <v>68</v>
      </c>
    </row>
    <row r="9" spans="1:10" ht="13.5" thickBot="1" x14ac:dyDescent="0.25"/>
    <row r="10" spans="1:10" x14ac:dyDescent="0.2">
      <c r="A10" s="37" t="s">
        <v>35</v>
      </c>
      <c r="B10" s="37"/>
    </row>
    <row r="11" spans="1:10" x14ac:dyDescent="0.2">
      <c r="A11" s="34" t="s">
        <v>36</v>
      </c>
      <c r="B11" s="34">
        <v>0.74975954930085598</v>
      </c>
    </row>
    <row r="12" spans="1:10" x14ac:dyDescent="0.2">
      <c r="A12" s="34" t="s">
        <v>37</v>
      </c>
      <c r="B12" s="34">
        <v>0.56213938176782263</v>
      </c>
    </row>
    <row r="13" spans="1:10" x14ac:dyDescent="0.2">
      <c r="A13" s="34" t="s">
        <v>38</v>
      </c>
      <c r="B13" s="34">
        <v>-1.3333333333333333</v>
      </c>
    </row>
    <row r="14" spans="1:10" x14ac:dyDescent="0.2">
      <c r="A14" s="34" t="s">
        <v>39</v>
      </c>
      <c r="B14" s="34">
        <v>2.8074069890258859</v>
      </c>
    </row>
    <row r="15" spans="1:10" ht="13.5" thickBot="1" x14ac:dyDescent="0.25">
      <c r="A15" s="35" t="s">
        <v>40</v>
      </c>
      <c r="B15" s="35">
        <v>1</v>
      </c>
    </row>
    <row r="17" spans="1:10" ht="13.5" thickBot="1" x14ac:dyDescent="0.25">
      <c r="A17" t="s">
        <v>41</v>
      </c>
    </row>
    <row r="18" spans="1:10" x14ac:dyDescent="0.2">
      <c r="A18" s="36"/>
      <c r="B18" s="36" t="s">
        <v>44</v>
      </c>
      <c r="C18" s="36" t="s">
        <v>45</v>
      </c>
      <c r="D18" s="36" t="s">
        <v>46</v>
      </c>
      <c r="E18" s="36" t="s">
        <v>47</v>
      </c>
      <c r="F18" s="36" t="s">
        <v>48</v>
      </c>
    </row>
    <row r="19" spans="1:10" x14ac:dyDescent="0.2">
      <c r="A19" s="34" t="s">
        <v>42</v>
      </c>
      <c r="B19" s="34">
        <v>8</v>
      </c>
      <c r="C19" s="34">
        <v>60.711383487811617</v>
      </c>
      <c r="D19" s="34">
        <v>7.5889229359764521</v>
      </c>
      <c r="E19" s="34">
        <v>7.7029907467459795</v>
      </c>
      <c r="F19" s="34" t="e">
        <v>#NUM!</v>
      </c>
    </row>
    <row r="20" spans="1:10" x14ac:dyDescent="0.2">
      <c r="A20" s="34" t="s">
        <v>16</v>
      </c>
      <c r="B20" s="34">
        <v>6</v>
      </c>
      <c r="C20" s="34">
        <v>47.28920401218835</v>
      </c>
      <c r="D20" s="34">
        <v>7.8815340020313913</v>
      </c>
      <c r="E20" s="34"/>
      <c r="F20" s="34"/>
    </row>
    <row r="21" spans="1:10" ht="13.5" thickBot="1" x14ac:dyDescent="0.25">
      <c r="A21" s="35" t="s">
        <v>0</v>
      </c>
      <c r="B21" s="35">
        <v>14</v>
      </c>
      <c r="C21" s="35">
        <v>108.00058749999997</v>
      </c>
      <c r="D21" s="35"/>
      <c r="E21" s="35"/>
      <c r="F21" s="35"/>
    </row>
    <row r="22" spans="1:10" ht="13.5" thickBot="1" x14ac:dyDescent="0.25"/>
    <row r="23" spans="1:10" x14ac:dyDescent="0.2">
      <c r="A23" s="36"/>
      <c r="B23" s="36" t="s">
        <v>49</v>
      </c>
      <c r="C23" s="36" t="s">
        <v>39</v>
      </c>
      <c r="D23" s="36" t="s">
        <v>50</v>
      </c>
      <c r="E23" s="36" t="s">
        <v>51</v>
      </c>
      <c r="F23" s="36" t="s">
        <v>52</v>
      </c>
      <c r="G23" s="36" t="s">
        <v>53</v>
      </c>
      <c r="H23" s="36" t="s">
        <v>54</v>
      </c>
      <c r="I23" s="36" t="s">
        <v>55</v>
      </c>
    </row>
    <row r="24" spans="1:10" x14ac:dyDescent="0.2">
      <c r="A24" s="34" t="s">
        <v>43</v>
      </c>
      <c r="B24" s="34"/>
      <c r="C24" s="34"/>
      <c r="D24" s="34"/>
      <c r="E24" s="34"/>
      <c r="F24" s="34"/>
      <c r="G24" s="34"/>
      <c r="H24" s="34">
        <v>0</v>
      </c>
      <c r="I24" s="34">
        <v>0</v>
      </c>
    </row>
    <row r="25" spans="1:10" x14ac:dyDescent="0.2">
      <c r="A25" s="34" t="s">
        <v>56</v>
      </c>
      <c r="B25" s="34"/>
      <c r="C25" s="34"/>
      <c r="D25" s="34"/>
      <c r="E25" s="34"/>
      <c r="F25" s="34"/>
      <c r="G25" s="34"/>
      <c r="H25" s="34">
        <v>65535</v>
      </c>
      <c r="I25" s="34">
        <v>65535</v>
      </c>
    </row>
    <row r="26" spans="1:10" x14ac:dyDescent="0.2">
      <c r="A26" s="34" t="s">
        <v>57</v>
      </c>
      <c r="B26" s="34"/>
      <c r="C26" s="34"/>
      <c r="D26" s="34"/>
      <c r="E26" s="34"/>
      <c r="F26" s="34"/>
      <c r="G26" s="34"/>
      <c r="H26" s="34">
        <v>0.56213938176782263</v>
      </c>
      <c r="I26" s="34">
        <v>0.56213938176782263</v>
      </c>
    </row>
    <row r="27" spans="1:10" x14ac:dyDescent="0.2">
      <c r="A27" s="34" t="s">
        <v>58</v>
      </c>
      <c r="B27" s="34"/>
      <c r="C27" s="34"/>
      <c r="D27" s="34"/>
      <c r="E27" s="34"/>
      <c r="F27" s="34"/>
      <c r="G27" s="34"/>
      <c r="H27" s="34">
        <v>15.252541440668484</v>
      </c>
      <c r="I27" s="34">
        <v>15.252541440668484</v>
      </c>
    </row>
    <row r="28" spans="1:10" x14ac:dyDescent="0.2">
      <c r="A28" s="34" t="s">
        <v>59</v>
      </c>
      <c r="B28" s="34"/>
      <c r="C28" s="34"/>
      <c r="D28" s="34"/>
      <c r="E28" s="34"/>
      <c r="F28" s="34"/>
      <c r="G28" s="34"/>
      <c r="H28" s="34">
        <v>3.3289595646102918E-4</v>
      </c>
      <c r="I28" s="34">
        <v>3.3289595646102918E-4</v>
      </c>
    </row>
    <row r="29" spans="1:10" x14ac:dyDescent="0.2">
      <c r="A29" s="34" t="s">
        <v>60</v>
      </c>
      <c r="B29" s="34"/>
      <c r="C29" s="34"/>
      <c r="D29" s="34"/>
      <c r="E29" s="34"/>
      <c r="F29" s="34"/>
      <c r="G29" s="34"/>
      <c r="H29" s="34">
        <v>-6.8694774324346559</v>
      </c>
      <c r="I29" s="34">
        <v>6.8694774324346559</v>
      </c>
    </row>
    <row r="30" spans="1:10" x14ac:dyDescent="0.2">
      <c r="A30" s="34" t="s">
        <v>61</v>
      </c>
      <c r="B30" s="34"/>
      <c r="C30" s="34"/>
      <c r="D30" s="34"/>
      <c r="E30" s="34"/>
      <c r="F30" s="34"/>
      <c r="G30" s="34"/>
      <c r="H30" s="34">
        <v>-1.3755055152429916</v>
      </c>
      <c r="I30" s="34">
        <v>1.3755055152429916</v>
      </c>
    </row>
    <row r="31" spans="1:10" x14ac:dyDescent="0.2">
      <c r="A31" s="34" t="s">
        <v>62</v>
      </c>
      <c r="B31" s="41">
        <v>8.1836766702098345</v>
      </c>
      <c r="C31" s="34">
        <v>15.252541440668484</v>
      </c>
      <c r="D31" s="34">
        <v>0.53654511951623729</v>
      </c>
      <c r="E31" s="34">
        <v>0.61088231697438444</v>
      </c>
      <c r="F31" s="34">
        <v>-29.13794774104165</v>
      </c>
      <c r="G31" s="34">
        <v>45.505301081461319</v>
      </c>
      <c r="H31" s="34">
        <v>-29.13794774104165</v>
      </c>
      <c r="I31" s="34">
        <v>45.505301081461319</v>
      </c>
      <c r="J31" s="43" t="s">
        <v>71</v>
      </c>
    </row>
    <row r="32" spans="1:10" ht="13.5" thickBot="1" x14ac:dyDescent="0.25">
      <c r="A32" s="35" t="s">
        <v>63</v>
      </c>
      <c r="B32" s="42">
        <v>9.2392816873763559E-4</v>
      </c>
      <c r="C32" s="35">
        <v>3.3289595646102918E-4</v>
      </c>
      <c r="D32" s="35">
        <v>2.7754262279415709</v>
      </c>
      <c r="E32" s="35">
        <v>3.2190857903323447E-2</v>
      </c>
      <c r="F32" s="35">
        <v>1.0936110767490348E-4</v>
      </c>
      <c r="G32" s="35">
        <v>1.7384952298003676E-3</v>
      </c>
      <c r="H32" s="35">
        <v>1.0936110767490348E-4</v>
      </c>
      <c r="I32" s="35">
        <v>1.7384952298003676E-3</v>
      </c>
      <c r="J32" s="43" t="s">
        <v>72</v>
      </c>
    </row>
    <row r="34" spans="1:6" x14ac:dyDescent="0.2">
      <c r="A34" s="38" t="s">
        <v>253</v>
      </c>
    </row>
    <row r="35" spans="1:6" ht="13.5" thickBot="1" x14ac:dyDescent="0.25"/>
    <row r="36" spans="1:6" x14ac:dyDescent="0.2">
      <c r="A36" s="37" t="s">
        <v>35</v>
      </c>
      <c r="B36" s="37"/>
    </row>
    <row r="37" spans="1:6" x14ac:dyDescent="0.2">
      <c r="A37" s="34" t="s">
        <v>36</v>
      </c>
      <c r="B37" s="34">
        <v>0.71497264199743149</v>
      </c>
    </row>
    <row r="38" spans="1:6" x14ac:dyDescent="0.2">
      <c r="A38" s="34" t="s">
        <v>37</v>
      </c>
      <c r="B38" s="34">
        <v>0.51118587880478727</v>
      </c>
    </row>
    <row r="39" spans="1:6" x14ac:dyDescent="0.2">
      <c r="A39" s="34" t="s">
        <v>38</v>
      </c>
      <c r="B39" s="34">
        <v>-1.3333333333333333</v>
      </c>
    </row>
    <row r="40" spans="1:6" x14ac:dyDescent="0.2">
      <c r="A40" s="34" t="s">
        <v>39</v>
      </c>
      <c r="B40" s="34">
        <v>4.6064821315726183</v>
      </c>
    </row>
    <row r="41" spans="1:6" ht="13.5" thickBot="1" x14ac:dyDescent="0.25">
      <c r="A41" s="35" t="s">
        <v>40</v>
      </c>
      <c r="B41" s="35">
        <v>1</v>
      </c>
    </row>
    <row r="43" spans="1:6" ht="13.5" thickBot="1" x14ac:dyDescent="0.25">
      <c r="A43" t="s">
        <v>41</v>
      </c>
    </row>
    <row r="44" spans="1:6" x14ac:dyDescent="0.2">
      <c r="A44" s="36"/>
      <c r="B44" s="36" t="s">
        <v>44</v>
      </c>
      <c r="C44" s="36" t="s">
        <v>45</v>
      </c>
      <c r="D44" s="36" t="s">
        <v>46</v>
      </c>
      <c r="E44" s="36" t="s">
        <v>47</v>
      </c>
      <c r="F44" s="36" t="s">
        <v>48</v>
      </c>
    </row>
    <row r="45" spans="1:6" x14ac:dyDescent="0.2">
      <c r="A45" s="34" t="s">
        <v>42</v>
      </c>
      <c r="B45" s="34">
        <v>8</v>
      </c>
      <c r="C45" s="34">
        <v>133.14508422901315</v>
      </c>
      <c r="D45" s="34">
        <v>16.643135528626644</v>
      </c>
      <c r="E45" s="34">
        <v>6.2746044760925415</v>
      </c>
      <c r="F45" s="34" t="e">
        <v>#NUM!</v>
      </c>
    </row>
    <row r="46" spans="1:6" x14ac:dyDescent="0.2">
      <c r="A46" s="34" t="s">
        <v>16</v>
      </c>
      <c r="B46" s="34">
        <v>6</v>
      </c>
      <c r="C46" s="34">
        <v>127.31806577098688</v>
      </c>
      <c r="D46" s="34">
        <v>21.219677628497813</v>
      </c>
      <c r="E46" s="34"/>
      <c r="F46" s="34"/>
    </row>
    <row r="47" spans="1:6" ht="13.5" thickBot="1" x14ac:dyDescent="0.25">
      <c r="A47" s="35" t="s">
        <v>0</v>
      </c>
      <c r="B47" s="35">
        <v>14</v>
      </c>
      <c r="C47" s="35">
        <v>260.46315000000004</v>
      </c>
      <c r="D47" s="35"/>
      <c r="E47" s="35"/>
      <c r="F47" s="35"/>
    </row>
    <row r="48" spans="1:6" ht="13.5" thickBot="1" x14ac:dyDescent="0.25"/>
    <row r="49" spans="1:10" x14ac:dyDescent="0.2">
      <c r="A49" s="36"/>
      <c r="B49" s="36" t="s">
        <v>49</v>
      </c>
      <c r="C49" s="36" t="s">
        <v>39</v>
      </c>
      <c r="D49" s="36" t="s">
        <v>50</v>
      </c>
      <c r="E49" s="36" t="s">
        <v>51</v>
      </c>
      <c r="F49" s="36" t="s">
        <v>52</v>
      </c>
      <c r="G49" s="36" t="s">
        <v>53</v>
      </c>
      <c r="H49" s="36" t="s">
        <v>54</v>
      </c>
      <c r="I49" s="36" t="s">
        <v>55</v>
      </c>
    </row>
    <row r="50" spans="1:10" x14ac:dyDescent="0.2">
      <c r="A50" s="34" t="s">
        <v>43</v>
      </c>
      <c r="B50" s="34"/>
      <c r="C50" s="34"/>
      <c r="D50" s="34"/>
      <c r="E50" s="34"/>
      <c r="F50" s="34"/>
      <c r="G50" s="34"/>
      <c r="H50" s="34">
        <v>133.14508422901315</v>
      </c>
      <c r="I50" s="34">
        <v>133.14508422901315</v>
      </c>
    </row>
    <row r="51" spans="1:10" x14ac:dyDescent="0.2">
      <c r="A51" s="34" t="s">
        <v>56</v>
      </c>
      <c r="B51" s="34">
        <v>6</v>
      </c>
      <c r="C51" s="34">
        <v>127.31806577098688</v>
      </c>
      <c r="D51" s="34">
        <v>4.7126069373316495E-2</v>
      </c>
      <c r="E51" s="34">
        <v>0.96394218761499584</v>
      </c>
      <c r="F51" s="34">
        <v>-305.53608399988252</v>
      </c>
      <c r="G51" s="34">
        <v>317.53608399988252</v>
      </c>
      <c r="H51" s="34">
        <v>-305.53608399988252</v>
      </c>
      <c r="I51" s="34">
        <v>317.53608399988252</v>
      </c>
    </row>
    <row r="52" spans="1:10" x14ac:dyDescent="0.2">
      <c r="A52" s="34" t="s">
        <v>57</v>
      </c>
      <c r="B52" s="34">
        <v>6.2746044760925415</v>
      </c>
      <c r="C52" s="34">
        <v>133.14508422901315</v>
      </c>
      <c r="D52" s="34">
        <v>4.7126069373316495E-2</v>
      </c>
      <c r="E52" s="34">
        <v>0.96394218761499584</v>
      </c>
      <c r="F52" s="34">
        <v>-319.51968004557494</v>
      </c>
      <c r="G52" s="34">
        <v>332.06888899775998</v>
      </c>
      <c r="H52" s="34">
        <v>-319.51968004557494</v>
      </c>
      <c r="I52" s="34">
        <v>332.06888899775998</v>
      </c>
    </row>
    <row r="53" spans="1:10" x14ac:dyDescent="0.2">
      <c r="A53" s="34" t="s">
        <v>58</v>
      </c>
      <c r="B53" s="34">
        <v>4.6064821315726183</v>
      </c>
      <c r="C53" s="34">
        <v>6</v>
      </c>
      <c r="D53" s="34">
        <v>0.76774702192876976</v>
      </c>
      <c r="E53" s="34">
        <v>0.47176095484930636</v>
      </c>
      <c r="F53" s="34">
        <v>-10.074988975297199</v>
      </c>
      <c r="G53" s="34">
        <v>19.287953238442437</v>
      </c>
      <c r="H53" s="34">
        <v>-10.074988975297199</v>
      </c>
      <c r="I53" s="34">
        <v>19.287953238442437</v>
      </c>
    </row>
    <row r="54" spans="1:10" x14ac:dyDescent="0.2">
      <c r="A54" s="34" t="s">
        <v>59</v>
      </c>
      <c r="B54" s="34">
        <v>0.51118587880478727</v>
      </c>
      <c r="C54" s="34">
        <v>6.2746044760925415</v>
      </c>
      <c r="D54" s="34">
        <v>8.1469020199202116E-2</v>
      </c>
      <c r="E54" s="34">
        <v>0.93771863405055167</v>
      </c>
      <c r="F54" s="34">
        <v>-14.842218174993327</v>
      </c>
      <c r="G54" s="34">
        <v>15.8645899326029</v>
      </c>
      <c r="H54" s="34">
        <v>-14.842218174993327</v>
      </c>
      <c r="I54" s="34">
        <v>15.8645899326029</v>
      </c>
    </row>
    <row r="55" spans="1:10" x14ac:dyDescent="0.2">
      <c r="A55" s="34" t="s">
        <v>60</v>
      </c>
      <c r="B55" s="34">
        <v>25.026852138702289</v>
      </c>
      <c r="C55" s="34">
        <v>4.6064821315726183</v>
      </c>
      <c r="D55" s="34">
        <v>5.4329641196628957</v>
      </c>
      <c r="E55" s="34">
        <v>1.6129929894745326E-3</v>
      </c>
      <c r="F55" s="34">
        <v>13.755196418869707</v>
      </c>
      <c r="G55" s="34">
        <v>36.298507858534869</v>
      </c>
      <c r="H55" s="34">
        <v>13.755196418869707</v>
      </c>
      <c r="I55" s="34">
        <v>36.298507858534869</v>
      </c>
    </row>
    <row r="56" spans="1:10" x14ac:dyDescent="0.2">
      <c r="A56" s="34" t="s">
        <v>61</v>
      </c>
      <c r="B56" s="34">
        <v>5.4622620842110028E-4</v>
      </c>
      <c r="C56" s="34">
        <v>0.51118587880478727</v>
      </c>
      <c r="D56" s="34">
        <v>1.0685471392485283E-3</v>
      </c>
      <c r="E56" s="34">
        <v>0.99918206416369748</v>
      </c>
      <c r="F56" s="34">
        <v>-1.2502805587769692</v>
      </c>
      <c r="G56" s="34">
        <v>1.2513730111938113</v>
      </c>
      <c r="H56" s="34">
        <v>-1.2502805587769692</v>
      </c>
      <c r="I56" s="34">
        <v>1.2513730111938113</v>
      </c>
    </row>
    <row r="57" spans="1:10" x14ac:dyDescent="0.2">
      <c r="A57" s="34" t="s">
        <v>62</v>
      </c>
      <c r="B57" s="41">
        <v>43.315218139787177</v>
      </c>
      <c r="C57" s="34">
        <v>25.026852138702289</v>
      </c>
      <c r="D57" s="34">
        <v>1.7307497522951838</v>
      </c>
      <c r="E57" s="34">
        <v>0.13421574362961852</v>
      </c>
      <c r="F57" s="34">
        <v>-17.923282955256283</v>
      </c>
      <c r="G57" s="34">
        <v>104.55371923483064</v>
      </c>
      <c r="H57" s="34">
        <v>-17.923282955256283</v>
      </c>
      <c r="I57" s="34">
        <v>104.55371923483064</v>
      </c>
      <c r="J57" s="43" t="s">
        <v>71</v>
      </c>
    </row>
    <row r="58" spans="1:10" ht="13.5" thickBot="1" x14ac:dyDescent="0.25">
      <c r="A58" s="35" t="s">
        <v>63</v>
      </c>
      <c r="B58" s="42">
        <v>1.3682508027878628E-3</v>
      </c>
      <c r="C58" s="35">
        <v>5.4622620842110028E-4</v>
      </c>
      <c r="D58" s="35">
        <v>2.5049160616860076</v>
      </c>
      <c r="E58" s="35">
        <v>4.6219862414917608E-2</v>
      </c>
      <c r="F58" s="35">
        <v>3.1683419996290148E-5</v>
      </c>
      <c r="G58" s="35">
        <v>2.7048181855794354E-3</v>
      </c>
      <c r="H58" s="35">
        <v>3.1683419996290148E-5</v>
      </c>
      <c r="I58" s="35">
        <v>2.7048181855794354E-3</v>
      </c>
      <c r="J58" s="43" t="s">
        <v>72</v>
      </c>
    </row>
  </sheetData>
  <pageMargins left="0.7" right="0.7" top="0.75" bottom="0.75" header="0.3" footer="0.3"/>
  <pageSetup paperSize="9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2"/>
  <sheetViews>
    <sheetView topLeftCell="A10" workbookViewId="0">
      <selection activeCell="N27" sqref="N27"/>
    </sheetView>
  </sheetViews>
  <sheetFormatPr defaultRowHeight="12.75" x14ac:dyDescent="0.2"/>
  <cols>
    <col min="1" max="1" width="40.28515625" bestFit="1" customWidth="1"/>
  </cols>
  <sheetData>
    <row r="1" spans="1:6" ht="89.25" x14ac:dyDescent="0.2">
      <c r="A1" s="40" t="s">
        <v>208</v>
      </c>
      <c r="B1" s="39" t="s">
        <v>209</v>
      </c>
      <c r="C1" s="39" t="s">
        <v>210</v>
      </c>
      <c r="D1" s="39" t="s">
        <v>211</v>
      </c>
      <c r="E1" s="39" t="s">
        <v>212</v>
      </c>
      <c r="F1" s="39" t="s">
        <v>70</v>
      </c>
    </row>
    <row r="2" spans="1:6" x14ac:dyDescent="0.2">
      <c r="A2" t="s">
        <v>34</v>
      </c>
      <c r="B2">
        <v>47490</v>
      </c>
      <c r="C2">
        <v>63900</v>
      </c>
      <c r="D2">
        <v>110950</v>
      </c>
      <c r="E2">
        <v>130450</v>
      </c>
    </row>
    <row r="3" spans="1:6" x14ac:dyDescent="0.2">
      <c r="A3" t="s">
        <v>32</v>
      </c>
      <c r="B3" s="1">
        <v>15.02</v>
      </c>
      <c r="C3" s="1">
        <v>11.4</v>
      </c>
      <c r="D3" s="1">
        <v>15.16</v>
      </c>
      <c r="E3" s="1">
        <v>16.809999999999999</v>
      </c>
      <c r="F3" s="1">
        <f>AVERAGE(B3:E3)</f>
        <v>14.5975</v>
      </c>
    </row>
    <row r="4" spans="1:6" x14ac:dyDescent="0.2">
      <c r="A4" t="s">
        <v>33</v>
      </c>
      <c r="B4" s="1">
        <f>40.86</f>
        <v>40.86</v>
      </c>
      <c r="C4" s="1">
        <f>57.95</f>
        <v>57.95</v>
      </c>
      <c r="D4" s="1">
        <f>100.66</f>
        <v>100.66</v>
      </c>
      <c r="E4" s="1">
        <f>128.24</f>
        <v>128.24</v>
      </c>
    </row>
    <row r="5" spans="1:6" x14ac:dyDescent="0.2">
      <c r="A5" s="40" t="s">
        <v>252</v>
      </c>
      <c r="B5">
        <f>129.68</f>
        <v>129.68</v>
      </c>
      <c r="C5">
        <v>140.09</v>
      </c>
      <c r="D5">
        <v>247.5</v>
      </c>
      <c r="E5">
        <v>291</v>
      </c>
    </row>
    <row r="6" spans="1:6" x14ac:dyDescent="0.2">
      <c r="A6" s="38"/>
    </row>
    <row r="8" spans="1:6" x14ac:dyDescent="0.2">
      <c r="A8" s="38" t="s">
        <v>68</v>
      </c>
    </row>
    <row r="9" spans="1:6" ht="13.5" thickBot="1" x14ac:dyDescent="0.25"/>
    <row r="10" spans="1:6" x14ac:dyDescent="0.2">
      <c r="A10" s="37" t="s">
        <v>35</v>
      </c>
      <c r="B10" s="37"/>
    </row>
    <row r="11" spans="1:6" x14ac:dyDescent="0.2">
      <c r="A11" s="34" t="s">
        <v>36</v>
      </c>
      <c r="B11" s="34">
        <v>0.99671388016661544</v>
      </c>
    </row>
    <row r="12" spans="1:6" x14ac:dyDescent="0.2">
      <c r="A12" s="34" t="s">
        <v>37</v>
      </c>
      <c r="B12" s="34">
        <v>0.99343855891679023</v>
      </c>
    </row>
    <row r="13" spans="1:6" x14ac:dyDescent="0.2">
      <c r="A13" s="34" t="s">
        <v>38</v>
      </c>
      <c r="B13" s="34">
        <v>-2</v>
      </c>
    </row>
    <row r="14" spans="1:6" x14ac:dyDescent="0.2">
      <c r="A14" s="34" t="s">
        <v>39</v>
      </c>
      <c r="B14" s="34">
        <v>3.9505810449614613</v>
      </c>
    </row>
    <row r="15" spans="1:6" ht="13.5" thickBot="1" x14ac:dyDescent="0.25">
      <c r="A15" s="35" t="s">
        <v>40</v>
      </c>
      <c r="B15" s="35">
        <v>1</v>
      </c>
    </row>
    <row r="17" spans="1:10" ht="13.5" thickBot="1" x14ac:dyDescent="0.25">
      <c r="A17" t="s">
        <v>41</v>
      </c>
    </row>
    <row r="18" spans="1:10" x14ac:dyDescent="0.2">
      <c r="A18" s="36"/>
      <c r="B18" s="36" t="s">
        <v>44</v>
      </c>
      <c r="C18" s="36" t="s">
        <v>45</v>
      </c>
      <c r="D18" s="36" t="s">
        <v>46</v>
      </c>
      <c r="E18" s="36" t="s">
        <v>47</v>
      </c>
      <c r="F18" s="36" t="s">
        <v>48</v>
      </c>
    </row>
    <row r="19" spans="1:10" x14ac:dyDescent="0.2">
      <c r="A19" s="34" t="s">
        <v>42</v>
      </c>
      <c r="B19" s="34">
        <v>4</v>
      </c>
      <c r="C19" s="34">
        <v>4726.000093814383</v>
      </c>
      <c r="D19" s="34">
        <v>1181.5000234535958</v>
      </c>
      <c r="E19" s="34">
        <v>302.81108869784867</v>
      </c>
      <c r="F19" s="34" t="e">
        <v>#NUM!</v>
      </c>
    </row>
    <row r="20" spans="1:10" x14ac:dyDescent="0.2">
      <c r="A20" s="34" t="s">
        <v>16</v>
      </c>
      <c r="B20" s="34">
        <v>2</v>
      </c>
      <c r="C20" s="34">
        <v>31.214181185617583</v>
      </c>
      <c r="D20" s="34">
        <v>15.607090592808792</v>
      </c>
      <c r="E20" s="34"/>
      <c r="F20" s="34"/>
    </row>
    <row r="21" spans="1:10" ht="13.5" thickBot="1" x14ac:dyDescent="0.25">
      <c r="A21" s="35" t="s">
        <v>0</v>
      </c>
      <c r="B21" s="35">
        <v>6</v>
      </c>
      <c r="C21" s="35">
        <v>4757.2142750000003</v>
      </c>
      <c r="D21" s="35"/>
      <c r="E21" s="35"/>
      <c r="F21" s="35"/>
    </row>
    <row r="22" spans="1:10" ht="13.5" thickBot="1" x14ac:dyDescent="0.25"/>
    <row r="23" spans="1:10" x14ac:dyDescent="0.2">
      <c r="A23" s="36"/>
      <c r="B23" s="36" t="s">
        <v>49</v>
      </c>
      <c r="C23" s="36" t="s">
        <v>39</v>
      </c>
      <c r="D23" s="36" t="s">
        <v>50</v>
      </c>
      <c r="E23" s="36" t="s">
        <v>51</v>
      </c>
      <c r="F23" s="36" t="s">
        <v>52</v>
      </c>
      <c r="G23" s="36" t="s">
        <v>53</v>
      </c>
      <c r="H23" s="36" t="s">
        <v>54</v>
      </c>
      <c r="I23" s="36" t="s">
        <v>55</v>
      </c>
    </row>
    <row r="24" spans="1:10" x14ac:dyDescent="0.2">
      <c r="A24" s="34" t="s">
        <v>43</v>
      </c>
      <c r="B24" s="34"/>
      <c r="C24" s="34"/>
      <c r="D24" s="34"/>
      <c r="E24" s="34"/>
      <c r="F24" s="34"/>
      <c r="G24" s="34"/>
      <c r="H24" s="34">
        <v>3.4895021517987306E-287</v>
      </c>
      <c r="I24" s="34">
        <v>3.4895033414495932E-287</v>
      </c>
    </row>
    <row r="25" spans="1:10" x14ac:dyDescent="0.2">
      <c r="A25" s="34" t="s">
        <v>56</v>
      </c>
      <c r="B25" s="34"/>
      <c r="C25" s="34"/>
      <c r="D25" s="34"/>
      <c r="E25" s="34"/>
      <c r="F25" s="34"/>
      <c r="G25" s="34"/>
      <c r="H25" s="34">
        <v>-5.491190620090954E-287</v>
      </c>
      <c r="I25" s="34">
        <v>8.8165118508863324E-287</v>
      </c>
    </row>
    <row r="26" spans="1:10" x14ac:dyDescent="0.2">
      <c r="A26" s="34" t="s">
        <v>57</v>
      </c>
      <c r="B26" s="34"/>
      <c r="C26" s="34"/>
      <c r="D26" s="34"/>
      <c r="E26" s="34"/>
      <c r="F26" s="34"/>
      <c r="G26" s="34"/>
      <c r="H26" s="34">
        <v>-5.4911906200901118E-287</v>
      </c>
      <c r="I26" s="34">
        <v>8.8165118508863114E-287</v>
      </c>
    </row>
    <row r="27" spans="1:10" x14ac:dyDescent="0.2">
      <c r="A27" s="34" t="s">
        <v>58</v>
      </c>
      <c r="B27" s="41">
        <v>-7.9554753803087976</v>
      </c>
      <c r="C27" s="34">
        <v>5.5300637973411835</v>
      </c>
      <c r="D27" s="34">
        <v>-1.438586546530211</v>
      </c>
      <c r="E27" s="34">
        <v>0.28687805619773943</v>
      </c>
      <c r="F27" s="34">
        <v>-31.749419473627526</v>
      </c>
      <c r="G27" s="34">
        <v>15.838468713009931</v>
      </c>
      <c r="H27" s="34">
        <v>-31.749419473627526</v>
      </c>
      <c r="I27" s="34">
        <v>15.838468713009931</v>
      </c>
      <c r="J27" s="43" t="s">
        <v>71</v>
      </c>
    </row>
    <row r="28" spans="1:10" ht="13.5" thickBot="1" x14ac:dyDescent="0.25">
      <c r="A28" s="35" t="s">
        <v>59</v>
      </c>
      <c r="B28" s="42">
        <v>1.0191102398629077E-3</v>
      </c>
      <c r="C28" s="35">
        <v>5.8564613032795246E-5</v>
      </c>
      <c r="D28" s="35">
        <v>17.401468004103815</v>
      </c>
      <c r="E28" s="35">
        <v>3.2861198333846283E-3</v>
      </c>
      <c r="F28" s="35">
        <v>7.6712704773063026E-4</v>
      </c>
      <c r="G28" s="35">
        <v>1.2710934319951851E-3</v>
      </c>
      <c r="H28" s="35">
        <v>7.6712704773063026E-4</v>
      </c>
      <c r="I28" s="35">
        <v>1.2710934319951851E-3</v>
      </c>
      <c r="J28" s="43" t="s">
        <v>72</v>
      </c>
    </row>
    <row r="30" spans="1:10" x14ac:dyDescent="0.2">
      <c r="A30" s="38" t="s">
        <v>253</v>
      </c>
    </row>
    <row r="31" spans="1:10" ht="13.5" thickBot="1" x14ac:dyDescent="0.25"/>
    <row r="32" spans="1:10" x14ac:dyDescent="0.2">
      <c r="A32" s="37" t="s">
        <v>35</v>
      </c>
      <c r="B32" s="37"/>
    </row>
    <row r="33" spans="1:9" x14ac:dyDescent="0.2">
      <c r="A33" s="34" t="s">
        <v>36</v>
      </c>
      <c r="B33" s="34">
        <v>0.99273916802501916</v>
      </c>
    </row>
    <row r="34" spans="1:9" x14ac:dyDescent="0.2">
      <c r="A34" s="34" t="s">
        <v>37</v>
      </c>
      <c r="B34" s="34">
        <v>0.98553105573100719</v>
      </c>
    </row>
    <row r="35" spans="1:9" x14ac:dyDescent="0.2">
      <c r="A35" s="34" t="s">
        <v>38</v>
      </c>
      <c r="B35" s="34">
        <v>-2</v>
      </c>
    </row>
    <row r="36" spans="1:9" x14ac:dyDescent="0.2">
      <c r="A36" s="34" t="s">
        <v>39</v>
      </c>
      <c r="B36" s="34">
        <v>11.740848754322419</v>
      </c>
    </row>
    <row r="37" spans="1:9" ht="13.5" thickBot="1" x14ac:dyDescent="0.25">
      <c r="A37" s="35" t="s">
        <v>40</v>
      </c>
      <c r="B37" s="35">
        <v>1</v>
      </c>
    </row>
    <row r="39" spans="1:9" ht="13.5" thickBot="1" x14ac:dyDescent="0.25">
      <c r="A39" t="s">
        <v>41</v>
      </c>
    </row>
    <row r="40" spans="1:9" x14ac:dyDescent="0.2">
      <c r="A40" s="36"/>
      <c r="B40" s="36" t="s">
        <v>44</v>
      </c>
      <c r="C40" s="36" t="s">
        <v>45</v>
      </c>
      <c r="D40" s="36" t="s">
        <v>46</v>
      </c>
      <c r="E40" s="36" t="s">
        <v>47</v>
      </c>
      <c r="F40" s="36" t="s">
        <v>48</v>
      </c>
    </row>
    <row r="41" spans="1:9" x14ac:dyDescent="0.2">
      <c r="A41" s="34" t="s">
        <v>42</v>
      </c>
      <c r="B41" s="34">
        <v>4</v>
      </c>
      <c r="C41" s="34">
        <v>18778.56721605625</v>
      </c>
      <c r="D41" s="34">
        <v>4694.6418040140625</v>
      </c>
      <c r="E41" s="34">
        <v>136.22708573741781</v>
      </c>
      <c r="F41" s="34" t="e">
        <v>#NUM!</v>
      </c>
    </row>
    <row r="42" spans="1:9" x14ac:dyDescent="0.2">
      <c r="A42" s="34" t="s">
        <v>16</v>
      </c>
      <c r="B42" s="34">
        <v>2</v>
      </c>
      <c r="C42" s="34">
        <v>275.69505894374862</v>
      </c>
      <c r="D42" s="34">
        <v>137.84752947187431</v>
      </c>
      <c r="E42" s="34"/>
      <c r="F42" s="34"/>
    </row>
    <row r="43" spans="1:9" ht="13.5" thickBot="1" x14ac:dyDescent="0.25">
      <c r="A43" s="35" t="s">
        <v>0</v>
      </c>
      <c r="B43" s="35">
        <v>6</v>
      </c>
      <c r="C43" s="35">
        <v>19054.262274999997</v>
      </c>
      <c r="D43" s="35"/>
      <c r="E43" s="35"/>
      <c r="F43" s="35"/>
    </row>
    <row r="44" spans="1:9" ht="13.5" thickBot="1" x14ac:dyDescent="0.25"/>
    <row r="45" spans="1:9" x14ac:dyDescent="0.2">
      <c r="A45" s="36"/>
      <c r="B45" s="36" t="s">
        <v>49</v>
      </c>
      <c r="C45" s="36" t="s">
        <v>39</v>
      </c>
      <c r="D45" s="36" t="s">
        <v>50</v>
      </c>
      <c r="E45" s="36" t="s">
        <v>51</v>
      </c>
      <c r="F45" s="36" t="s">
        <v>52</v>
      </c>
      <c r="G45" s="36" t="s">
        <v>53</v>
      </c>
      <c r="H45" s="36" t="s">
        <v>54</v>
      </c>
      <c r="I45" s="36" t="s">
        <v>55</v>
      </c>
    </row>
    <row r="46" spans="1:9" x14ac:dyDescent="0.2">
      <c r="A46" s="34" t="s">
        <v>43</v>
      </c>
      <c r="B46" s="34">
        <v>0.98553105573100719</v>
      </c>
      <c r="C46" s="34">
        <v>136.22708573741781</v>
      </c>
      <c r="D46" s="34">
        <v>7.2344721344964448E-3</v>
      </c>
      <c r="E46" s="34">
        <v>0.99488452262789073</v>
      </c>
      <c r="F46" s="34">
        <v>-585.15231125818389</v>
      </c>
      <c r="G46" s="34">
        <v>587.12337336964595</v>
      </c>
      <c r="H46" s="34">
        <v>-585.15231125818389</v>
      </c>
      <c r="I46" s="34">
        <v>587.12337336964595</v>
      </c>
    </row>
    <row r="47" spans="1:9" x14ac:dyDescent="0.2">
      <c r="A47" s="34" t="s">
        <v>56</v>
      </c>
      <c r="B47" s="34">
        <v>16.434960302648374</v>
      </c>
      <c r="C47" s="34">
        <v>11.740848754322419</v>
      </c>
      <c r="D47" s="34">
        <v>1.3998102391530942</v>
      </c>
      <c r="E47" s="34">
        <v>0.29652169498023151</v>
      </c>
      <c r="F47" s="34">
        <v>-34.081834639712568</v>
      </c>
      <c r="G47" s="34">
        <v>66.951755245009323</v>
      </c>
      <c r="H47" s="34">
        <v>-34.081834639712568</v>
      </c>
      <c r="I47" s="34">
        <v>66.951755245009323</v>
      </c>
    </row>
    <row r="48" spans="1:9" x14ac:dyDescent="0.2">
      <c r="A48" s="34" t="s">
        <v>57</v>
      </c>
      <c r="B48" s="34">
        <v>1.7404990712706068E-4</v>
      </c>
      <c r="C48" s="34">
        <v>0.98553105573100719</v>
      </c>
      <c r="D48" s="34">
        <v>1.7660519789298879E-4</v>
      </c>
      <c r="E48" s="34">
        <v>0.99987512126780209</v>
      </c>
      <c r="F48" s="34">
        <v>-4.240223837286762</v>
      </c>
      <c r="G48" s="34">
        <v>4.2405719371010155</v>
      </c>
      <c r="H48" s="34">
        <v>-4.240223837286762</v>
      </c>
      <c r="I48" s="34">
        <v>4.2405719371010155</v>
      </c>
    </row>
    <row r="49" spans="1:10" x14ac:dyDescent="0.2">
      <c r="A49" s="34" t="s">
        <v>58</v>
      </c>
      <c r="B49" s="41">
        <v>22.898939720678328</v>
      </c>
      <c r="C49" s="34">
        <v>16.434960302648374</v>
      </c>
      <c r="D49" s="34">
        <v>1.3933066645124985</v>
      </c>
      <c r="E49" s="34">
        <v>0.29817832454624593</v>
      </c>
      <c r="F49" s="34">
        <v>-47.814987088835764</v>
      </c>
      <c r="G49" s="34">
        <v>93.61286653019242</v>
      </c>
      <c r="H49" s="34">
        <v>-47.814987088835764</v>
      </c>
      <c r="I49" s="34">
        <v>93.61286653019242</v>
      </c>
      <c r="J49" s="43" t="s">
        <v>71</v>
      </c>
    </row>
    <row r="50" spans="1:10" ht="13.5" thickBot="1" x14ac:dyDescent="0.25">
      <c r="A50" s="35" t="s">
        <v>59</v>
      </c>
      <c r="B50" s="42">
        <v>2.0314471530295266E-3</v>
      </c>
      <c r="C50" s="35">
        <v>1.7404990712706068E-4</v>
      </c>
      <c r="D50" s="35">
        <v>11.671635949489595</v>
      </c>
      <c r="E50" s="35">
        <v>7.2608319749808952E-3</v>
      </c>
      <c r="F50" s="35">
        <v>1.2825708450166383E-3</v>
      </c>
      <c r="G50" s="35">
        <v>2.7803234610424147E-3</v>
      </c>
      <c r="H50" s="35">
        <v>1.2825708450166383E-3</v>
      </c>
      <c r="I50" s="35">
        <v>2.7803234610424147E-3</v>
      </c>
      <c r="J50" s="43" t="s">
        <v>72</v>
      </c>
    </row>
    <row r="52" spans="1:10" x14ac:dyDescent="0.2">
      <c r="G52" s="40"/>
    </row>
  </sheetData>
  <pageMargins left="0.7" right="0.7" top="0.75" bottom="0.75" header="0.3" footer="0.3"/>
  <pageSetup paperSize="9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B1:C65536"/>
  <sheetViews>
    <sheetView showGridLines="0" topLeftCell="A4" workbookViewId="0">
      <selection activeCell="B48" sqref="B48"/>
    </sheetView>
  </sheetViews>
  <sheetFormatPr defaultColWidth="0" defaultRowHeight="12.75" zeroHeight="1" x14ac:dyDescent="0.2"/>
  <cols>
    <col min="1" max="1" width="2.42578125" customWidth="1"/>
    <col min="2" max="2" width="18.5703125" bestFit="1" customWidth="1"/>
    <col min="3" max="3" width="91.28515625" bestFit="1" customWidth="1"/>
    <col min="4" max="4" width="2.42578125" customWidth="1"/>
  </cols>
  <sheetData>
    <row r="1" spans="2:3" x14ac:dyDescent="0.2"/>
    <row r="2" spans="2:3" x14ac:dyDescent="0.2">
      <c r="B2" s="56" t="s">
        <v>213</v>
      </c>
      <c r="C2" s="57" t="s">
        <v>214</v>
      </c>
    </row>
    <row r="3" spans="2:3" x14ac:dyDescent="0.2">
      <c r="B3" s="52" t="s">
        <v>73</v>
      </c>
      <c r="C3" s="50" t="s">
        <v>74</v>
      </c>
    </row>
    <row r="4" spans="2:3" x14ac:dyDescent="0.2">
      <c r="B4" s="54" t="s">
        <v>73</v>
      </c>
      <c r="C4" s="55" t="s">
        <v>75</v>
      </c>
    </row>
    <row r="5" spans="2:3" x14ac:dyDescent="0.2">
      <c r="B5" s="52" t="s">
        <v>73</v>
      </c>
      <c r="C5" s="50" t="s">
        <v>76</v>
      </c>
    </row>
    <row r="6" spans="2:3" x14ac:dyDescent="0.2">
      <c r="B6" s="54" t="s">
        <v>73</v>
      </c>
      <c r="C6" s="55" t="s">
        <v>77</v>
      </c>
    </row>
    <row r="7" spans="2:3" x14ac:dyDescent="0.2">
      <c r="B7" s="52" t="s">
        <v>73</v>
      </c>
      <c r="C7" s="50" t="s">
        <v>78</v>
      </c>
    </row>
    <row r="8" spans="2:3" x14ac:dyDescent="0.2">
      <c r="B8" s="54" t="s">
        <v>19</v>
      </c>
      <c r="C8" s="55" t="s">
        <v>20</v>
      </c>
    </row>
    <row r="9" spans="2:3" x14ac:dyDescent="0.2">
      <c r="B9" s="52" t="s">
        <v>19</v>
      </c>
      <c r="C9" s="50" t="s">
        <v>21</v>
      </c>
    </row>
    <row r="10" spans="2:3" x14ac:dyDescent="0.2">
      <c r="B10" s="54" t="s">
        <v>19</v>
      </c>
      <c r="C10" s="55" t="s">
        <v>22</v>
      </c>
    </row>
    <row r="11" spans="2:3" x14ac:dyDescent="0.2">
      <c r="B11" s="52" t="s">
        <v>19</v>
      </c>
      <c r="C11" s="50" t="s">
        <v>23</v>
      </c>
    </row>
    <row r="12" spans="2:3" x14ac:dyDescent="0.2">
      <c r="B12" s="54" t="s">
        <v>19</v>
      </c>
      <c r="C12" s="55" t="s">
        <v>24</v>
      </c>
    </row>
    <row r="13" spans="2:3" x14ac:dyDescent="0.2">
      <c r="B13" s="52" t="s">
        <v>19</v>
      </c>
      <c r="C13" s="50" t="s">
        <v>25</v>
      </c>
    </row>
    <row r="14" spans="2:3" x14ac:dyDescent="0.2">
      <c r="B14" s="54" t="s">
        <v>19</v>
      </c>
      <c r="C14" s="55" t="s">
        <v>26</v>
      </c>
    </row>
    <row r="15" spans="2:3" x14ac:dyDescent="0.2">
      <c r="B15" s="52" t="s">
        <v>19</v>
      </c>
      <c r="C15" s="50" t="s">
        <v>27</v>
      </c>
    </row>
    <row r="16" spans="2:3" x14ac:dyDescent="0.2">
      <c r="B16" s="54" t="s">
        <v>19</v>
      </c>
      <c r="C16" s="55" t="s">
        <v>28</v>
      </c>
    </row>
    <row r="17" spans="2:3" x14ac:dyDescent="0.2">
      <c r="B17" s="52" t="s">
        <v>19</v>
      </c>
      <c r="C17" s="50" t="s">
        <v>29</v>
      </c>
    </row>
    <row r="18" spans="2:3" x14ac:dyDescent="0.2">
      <c r="B18" s="54" t="s">
        <v>19</v>
      </c>
      <c r="C18" s="55" t="s">
        <v>30</v>
      </c>
    </row>
    <row r="19" spans="2:3" x14ac:dyDescent="0.2">
      <c r="B19" s="52" t="s">
        <v>19</v>
      </c>
      <c r="C19" s="50" t="s">
        <v>31</v>
      </c>
    </row>
    <row r="20" spans="2:3" x14ac:dyDescent="0.2">
      <c r="B20" s="54" t="s">
        <v>79</v>
      </c>
      <c r="C20" s="55" t="s">
        <v>80</v>
      </c>
    </row>
    <row r="21" spans="2:3" x14ac:dyDescent="0.2">
      <c r="B21" s="52" t="s">
        <v>79</v>
      </c>
      <c r="C21" s="50" t="s">
        <v>81</v>
      </c>
    </row>
    <row r="22" spans="2:3" x14ac:dyDescent="0.2">
      <c r="B22" s="54" t="s">
        <v>79</v>
      </c>
      <c r="C22" s="55" t="s">
        <v>82</v>
      </c>
    </row>
    <row r="23" spans="2:3" x14ac:dyDescent="0.2">
      <c r="B23" s="52" t="s">
        <v>79</v>
      </c>
      <c r="C23" s="50" t="s">
        <v>83</v>
      </c>
    </row>
    <row r="24" spans="2:3" x14ac:dyDescent="0.2">
      <c r="B24" s="54" t="s">
        <v>79</v>
      </c>
      <c r="C24" s="55" t="s">
        <v>84</v>
      </c>
    </row>
    <row r="25" spans="2:3" x14ac:dyDescent="0.2">
      <c r="B25" s="52" t="s">
        <v>79</v>
      </c>
      <c r="C25" s="50" t="s">
        <v>85</v>
      </c>
    </row>
    <row r="26" spans="2:3" x14ac:dyDescent="0.2">
      <c r="B26" s="54" t="s">
        <v>79</v>
      </c>
      <c r="C26" s="55" t="s">
        <v>86</v>
      </c>
    </row>
    <row r="27" spans="2:3" x14ac:dyDescent="0.2">
      <c r="B27" s="52" t="s">
        <v>79</v>
      </c>
      <c r="C27" s="50" t="s">
        <v>87</v>
      </c>
    </row>
    <row r="28" spans="2:3" x14ac:dyDescent="0.2">
      <c r="B28" s="54" t="s">
        <v>79</v>
      </c>
      <c r="C28" s="55" t="s">
        <v>88</v>
      </c>
    </row>
    <row r="29" spans="2:3" x14ac:dyDescent="0.2">
      <c r="B29" s="52" t="s">
        <v>79</v>
      </c>
      <c r="C29" s="50" t="s">
        <v>89</v>
      </c>
    </row>
    <row r="30" spans="2:3" x14ac:dyDescent="0.2">
      <c r="B30" s="54" t="s">
        <v>79</v>
      </c>
      <c r="C30" s="55" t="s">
        <v>90</v>
      </c>
    </row>
    <row r="31" spans="2:3" x14ac:dyDescent="0.2">
      <c r="B31" s="52" t="s">
        <v>79</v>
      </c>
      <c r="C31" s="50" t="s">
        <v>91</v>
      </c>
    </row>
    <row r="32" spans="2:3" x14ac:dyDescent="0.2">
      <c r="B32" s="54" t="s">
        <v>79</v>
      </c>
      <c r="C32" s="55" t="s">
        <v>92</v>
      </c>
    </row>
    <row r="33" spans="2:3" x14ac:dyDescent="0.2">
      <c r="B33" s="52" t="s">
        <v>79</v>
      </c>
      <c r="C33" s="50" t="s">
        <v>93</v>
      </c>
    </row>
    <row r="34" spans="2:3" x14ac:dyDescent="0.2">
      <c r="B34" s="54" t="s">
        <v>79</v>
      </c>
      <c r="C34" s="55" t="s">
        <v>94</v>
      </c>
    </row>
    <row r="35" spans="2:3" x14ac:dyDescent="0.2">
      <c r="B35" s="52" t="s">
        <v>79</v>
      </c>
      <c r="C35" s="50" t="s">
        <v>95</v>
      </c>
    </row>
    <row r="36" spans="2:3" x14ac:dyDescent="0.2">
      <c r="B36" s="54" t="s">
        <v>79</v>
      </c>
      <c r="C36" s="55" t="s">
        <v>96</v>
      </c>
    </row>
    <row r="37" spans="2:3" x14ac:dyDescent="0.2">
      <c r="B37" s="52" t="s">
        <v>101</v>
      </c>
      <c r="C37" s="50" t="s">
        <v>102</v>
      </c>
    </row>
    <row r="38" spans="2:3" x14ac:dyDescent="0.2">
      <c r="B38" s="54" t="s">
        <v>101</v>
      </c>
      <c r="C38" s="55" t="s">
        <v>103</v>
      </c>
    </row>
    <row r="39" spans="2:3" x14ac:dyDescent="0.2">
      <c r="B39" s="52" t="s">
        <v>101</v>
      </c>
      <c r="C39" s="50" t="s">
        <v>104</v>
      </c>
    </row>
    <row r="40" spans="2:3" x14ac:dyDescent="0.2">
      <c r="B40" s="54" t="s">
        <v>101</v>
      </c>
      <c r="C40" s="55" t="s">
        <v>105</v>
      </c>
    </row>
    <row r="41" spans="2:3" x14ac:dyDescent="0.2">
      <c r="B41" s="52" t="s">
        <v>101</v>
      </c>
      <c r="C41" s="50" t="s">
        <v>106</v>
      </c>
    </row>
    <row r="42" spans="2:3" x14ac:dyDescent="0.2">
      <c r="B42" s="54" t="s">
        <v>101</v>
      </c>
      <c r="C42" s="55" t="s">
        <v>107</v>
      </c>
    </row>
    <row r="43" spans="2:3" x14ac:dyDescent="0.2">
      <c r="B43" s="52" t="s">
        <v>101</v>
      </c>
      <c r="C43" s="50" t="s">
        <v>108</v>
      </c>
    </row>
    <row r="44" spans="2:3" x14ac:dyDescent="0.2">
      <c r="B44" s="54" t="s">
        <v>101</v>
      </c>
      <c r="C44" s="55" t="s">
        <v>109</v>
      </c>
    </row>
    <row r="45" spans="2:3" x14ac:dyDescent="0.2">
      <c r="B45" s="52" t="s">
        <v>101</v>
      </c>
      <c r="C45" s="50" t="s">
        <v>110</v>
      </c>
    </row>
    <row r="46" spans="2:3" x14ac:dyDescent="0.2">
      <c r="B46" s="54" t="s">
        <v>101</v>
      </c>
      <c r="C46" s="55" t="s">
        <v>111</v>
      </c>
    </row>
    <row r="47" spans="2:3" x14ac:dyDescent="0.2">
      <c r="B47" s="52" t="s">
        <v>101</v>
      </c>
      <c r="C47" s="50" t="s">
        <v>112</v>
      </c>
    </row>
    <row r="48" spans="2:3" x14ac:dyDescent="0.2">
      <c r="B48" s="54" t="s">
        <v>101</v>
      </c>
      <c r="C48" s="55" t="s">
        <v>113</v>
      </c>
    </row>
    <row r="49" spans="2:3" x14ac:dyDescent="0.2">
      <c r="B49" s="52" t="s">
        <v>101</v>
      </c>
      <c r="C49" s="50" t="s">
        <v>114</v>
      </c>
    </row>
    <row r="50" spans="2:3" x14ac:dyDescent="0.2">
      <c r="B50" s="54" t="s">
        <v>101</v>
      </c>
      <c r="C50" s="55" t="s">
        <v>115</v>
      </c>
    </row>
    <row r="51" spans="2:3" x14ac:dyDescent="0.2">
      <c r="B51" s="52" t="s">
        <v>116</v>
      </c>
      <c r="C51" s="50" t="s">
        <v>117</v>
      </c>
    </row>
    <row r="52" spans="2:3" x14ac:dyDescent="0.2">
      <c r="B52" s="54" t="s">
        <v>116</v>
      </c>
      <c r="C52" s="55" t="s">
        <v>118</v>
      </c>
    </row>
    <row r="53" spans="2:3" x14ac:dyDescent="0.2">
      <c r="B53" s="52" t="s">
        <v>116</v>
      </c>
      <c r="C53" s="50" t="s">
        <v>119</v>
      </c>
    </row>
    <row r="54" spans="2:3" x14ac:dyDescent="0.2">
      <c r="B54" s="54" t="s">
        <v>116</v>
      </c>
      <c r="C54" s="55" t="s">
        <v>120</v>
      </c>
    </row>
    <row r="55" spans="2:3" x14ac:dyDescent="0.2">
      <c r="B55" s="52" t="s">
        <v>116</v>
      </c>
      <c r="C55" s="50" t="s">
        <v>121</v>
      </c>
    </row>
    <row r="56" spans="2:3" x14ac:dyDescent="0.2">
      <c r="B56" s="54" t="s">
        <v>116</v>
      </c>
      <c r="C56" s="55" t="s">
        <v>122</v>
      </c>
    </row>
    <row r="57" spans="2:3" x14ac:dyDescent="0.2">
      <c r="B57" s="52" t="s">
        <v>124</v>
      </c>
      <c r="C57" s="50" t="s">
        <v>123</v>
      </c>
    </row>
    <row r="58" spans="2:3" x14ac:dyDescent="0.2">
      <c r="B58" s="54" t="s">
        <v>124</v>
      </c>
      <c r="C58" s="55" t="s">
        <v>125</v>
      </c>
    </row>
    <row r="59" spans="2:3" x14ac:dyDescent="0.2">
      <c r="B59" s="52" t="s">
        <v>124</v>
      </c>
      <c r="C59" s="50" t="s">
        <v>126</v>
      </c>
    </row>
    <row r="60" spans="2:3" x14ac:dyDescent="0.2">
      <c r="B60" s="54" t="s">
        <v>124</v>
      </c>
      <c r="C60" s="55" t="s">
        <v>127</v>
      </c>
    </row>
    <row r="61" spans="2:3" x14ac:dyDescent="0.2">
      <c r="B61" s="52" t="s">
        <v>124</v>
      </c>
      <c r="C61" s="50" t="s">
        <v>128</v>
      </c>
    </row>
    <row r="62" spans="2:3" x14ac:dyDescent="0.2">
      <c r="B62" s="54" t="s">
        <v>124</v>
      </c>
      <c r="C62" s="55" t="s">
        <v>129</v>
      </c>
    </row>
    <row r="63" spans="2:3" x14ac:dyDescent="0.2">
      <c r="B63" s="52" t="s">
        <v>124</v>
      </c>
      <c r="C63" s="50" t="s">
        <v>130</v>
      </c>
    </row>
    <row r="64" spans="2:3" x14ac:dyDescent="0.2">
      <c r="B64" s="54" t="s">
        <v>131</v>
      </c>
      <c r="C64" s="55" t="s">
        <v>132</v>
      </c>
    </row>
    <row r="65" spans="2:3" x14ac:dyDescent="0.2">
      <c r="B65" s="52" t="s">
        <v>131</v>
      </c>
      <c r="C65" s="50" t="s">
        <v>133</v>
      </c>
    </row>
    <row r="66" spans="2:3" x14ac:dyDescent="0.2">
      <c r="B66" s="54" t="s">
        <v>131</v>
      </c>
      <c r="C66" s="55" t="s">
        <v>134</v>
      </c>
    </row>
    <row r="67" spans="2:3" x14ac:dyDescent="0.2">
      <c r="B67" s="52" t="s">
        <v>131</v>
      </c>
      <c r="C67" s="50" t="s">
        <v>135</v>
      </c>
    </row>
    <row r="68" spans="2:3" x14ac:dyDescent="0.2">
      <c r="B68" s="54" t="s">
        <v>170</v>
      </c>
      <c r="C68" s="55" t="s">
        <v>136</v>
      </c>
    </row>
    <row r="69" spans="2:3" x14ac:dyDescent="0.2">
      <c r="B69" s="52" t="s">
        <v>170</v>
      </c>
      <c r="C69" s="50" t="s">
        <v>137</v>
      </c>
    </row>
    <row r="70" spans="2:3" x14ac:dyDescent="0.2">
      <c r="B70" s="54" t="s">
        <v>170</v>
      </c>
      <c r="C70" s="55" t="s">
        <v>138</v>
      </c>
    </row>
    <row r="71" spans="2:3" x14ac:dyDescent="0.2">
      <c r="B71" s="52" t="s">
        <v>170</v>
      </c>
      <c r="C71" s="50" t="s">
        <v>139</v>
      </c>
    </row>
    <row r="72" spans="2:3" x14ac:dyDescent="0.2">
      <c r="B72" s="54" t="s">
        <v>170</v>
      </c>
      <c r="C72" s="55" t="s">
        <v>143</v>
      </c>
    </row>
    <row r="73" spans="2:3" x14ac:dyDescent="0.2">
      <c r="B73" s="52" t="s">
        <v>170</v>
      </c>
      <c r="C73" s="50" t="s">
        <v>140</v>
      </c>
    </row>
    <row r="74" spans="2:3" x14ac:dyDescent="0.2">
      <c r="B74" s="54" t="s">
        <v>170</v>
      </c>
      <c r="C74" s="55" t="s">
        <v>141</v>
      </c>
    </row>
    <row r="75" spans="2:3" x14ac:dyDescent="0.2">
      <c r="B75" s="52" t="s">
        <v>170</v>
      </c>
      <c r="C75" s="50" t="s">
        <v>142</v>
      </c>
    </row>
    <row r="76" spans="2:3" x14ac:dyDescent="0.2">
      <c r="B76" s="54" t="s">
        <v>170</v>
      </c>
      <c r="C76" s="55" t="s">
        <v>144</v>
      </c>
    </row>
    <row r="77" spans="2:3" x14ac:dyDescent="0.2">
      <c r="B77" s="52" t="s">
        <v>170</v>
      </c>
      <c r="C77" s="50" t="s">
        <v>145</v>
      </c>
    </row>
    <row r="78" spans="2:3" x14ac:dyDescent="0.2">
      <c r="B78" s="54" t="s">
        <v>170</v>
      </c>
      <c r="C78" s="55" t="s">
        <v>146</v>
      </c>
    </row>
    <row r="79" spans="2:3" x14ac:dyDescent="0.2">
      <c r="B79" s="52" t="s">
        <v>170</v>
      </c>
      <c r="C79" s="50" t="s">
        <v>147</v>
      </c>
    </row>
    <row r="80" spans="2:3" x14ac:dyDescent="0.2">
      <c r="B80" s="54" t="s">
        <v>170</v>
      </c>
      <c r="C80" s="55" t="s">
        <v>148</v>
      </c>
    </row>
    <row r="81" spans="2:3" x14ac:dyDescent="0.2">
      <c r="B81" s="52" t="s">
        <v>169</v>
      </c>
      <c r="C81" s="50" t="s">
        <v>149</v>
      </c>
    </row>
    <row r="82" spans="2:3" x14ac:dyDescent="0.2">
      <c r="B82" s="54" t="s">
        <v>169</v>
      </c>
      <c r="C82" s="55" t="s">
        <v>150</v>
      </c>
    </row>
    <row r="83" spans="2:3" x14ac:dyDescent="0.2">
      <c r="B83" s="52" t="s">
        <v>169</v>
      </c>
      <c r="C83" s="50" t="s">
        <v>151</v>
      </c>
    </row>
    <row r="84" spans="2:3" x14ac:dyDescent="0.2">
      <c r="B84" s="54" t="s">
        <v>169</v>
      </c>
      <c r="C84" s="55" t="s">
        <v>152</v>
      </c>
    </row>
    <row r="85" spans="2:3" x14ac:dyDescent="0.2">
      <c r="B85" s="52" t="s">
        <v>169</v>
      </c>
      <c r="C85" s="50" t="s">
        <v>153</v>
      </c>
    </row>
    <row r="86" spans="2:3" x14ac:dyDescent="0.2">
      <c r="B86" s="54" t="s">
        <v>169</v>
      </c>
      <c r="C86" s="55" t="s">
        <v>154</v>
      </c>
    </row>
    <row r="87" spans="2:3" x14ac:dyDescent="0.2">
      <c r="B87" s="52" t="s">
        <v>169</v>
      </c>
      <c r="C87" s="50" t="s">
        <v>155</v>
      </c>
    </row>
    <row r="88" spans="2:3" x14ac:dyDescent="0.2">
      <c r="B88" s="54" t="s">
        <v>169</v>
      </c>
      <c r="C88" s="55" t="s">
        <v>156</v>
      </c>
    </row>
    <row r="89" spans="2:3" x14ac:dyDescent="0.2">
      <c r="B89" s="52" t="s">
        <v>169</v>
      </c>
      <c r="C89" s="50" t="s">
        <v>157</v>
      </c>
    </row>
    <row r="90" spans="2:3" x14ac:dyDescent="0.2">
      <c r="B90" s="54" t="s">
        <v>169</v>
      </c>
      <c r="C90" s="55" t="s">
        <v>158</v>
      </c>
    </row>
    <row r="91" spans="2:3" x14ac:dyDescent="0.2">
      <c r="B91" s="52" t="s">
        <v>169</v>
      </c>
      <c r="C91" s="50" t="s">
        <v>159</v>
      </c>
    </row>
    <row r="92" spans="2:3" x14ac:dyDescent="0.2">
      <c r="B92" s="54" t="s">
        <v>169</v>
      </c>
      <c r="C92" s="55" t="s">
        <v>160</v>
      </c>
    </row>
    <row r="93" spans="2:3" x14ac:dyDescent="0.2">
      <c r="B93" s="52" t="s">
        <v>169</v>
      </c>
      <c r="C93" s="50" t="s">
        <v>161</v>
      </c>
    </row>
    <row r="94" spans="2:3" x14ac:dyDescent="0.2">
      <c r="B94" s="54" t="s">
        <v>169</v>
      </c>
      <c r="C94" s="55" t="s">
        <v>162</v>
      </c>
    </row>
    <row r="95" spans="2:3" x14ac:dyDescent="0.2">
      <c r="B95" s="52" t="s">
        <v>169</v>
      </c>
      <c r="C95" s="50" t="s">
        <v>163</v>
      </c>
    </row>
    <row r="96" spans="2:3" x14ac:dyDescent="0.2">
      <c r="B96" s="54" t="s">
        <v>169</v>
      </c>
      <c r="C96" s="55" t="s">
        <v>164</v>
      </c>
    </row>
    <row r="97" spans="2:3" x14ac:dyDescent="0.2">
      <c r="B97" s="52" t="s">
        <v>169</v>
      </c>
      <c r="C97" s="50" t="s">
        <v>165</v>
      </c>
    </row>
    <row r="98" spans="2:3" x14ac:dyDescent="0.2">
      <c r="B98" s="54" t="s">
        <v>169</v>
      </c>
      <c r="C98" s="55" t="s">
        <v>166</v>
      </c>
    </row>
    <row r="99" spans="2:3" x14ac:dyDescent="0.2">
      <c r="B99" s="52" t="s">
        <v>169</v>
      </c>
      <c r="C99" s="50" t="s">
        <v>167</v>
      </c>
    </row>
    <row r="100" spans="2:3" x14ac:dyDescent="0.2">
      <c r="B100" s="54" t="s">
        <v>168</v>
      </c>
      <c r="C100" s="55" t="s">
        <v>171</v>
      </c>
    </row>
    <row r="101" spans="2:3" x14ac:dyDescent="0.2">
      <c r="B101" s="52" t="s">
        <v>168</v>
      </c>
      <c r="C101" s="50" t="s">
        <v>172</v>
      </c>
    </row>
    <row r="102" spans="2:3" x14ac:dyDescent="0.2">
      <c r="B102" s="54" t="s">
        <v>168</v>
      </c>
      <c r="C102" s="55" t="s">
        <v>173</v>
      </c>
    </row>
    <row r="103" spans="2:3" x14ac:dyDescent="0.2">
      <c r="B103" s="52" t="s">
        <v>168</v>
      </c>
      <c r="C103" s="50" t="s">
        <v>174</v>
      </c>
    </row>
    <row r="104" spans="2:3" x14ac:dyDescent="0.2">
      <c r="B104" s="54" t="s">
        <v>168</v>
      </c>
      <c r="C104" s="55" t="s">
        <v>175</v>
      </c>
    </row>
    <row r="105" spans="2:3" x14ac:dyDescent="0.2">
      <c r="B105" s="52" t="s">
        <v>168</v>
      </c>
      <c r="C105" s="50" t="s">
        <v>176</v>
      </c>
    </row>
    <row r="106" spans="2:3" x14ac:dyDescent="0.2">
      <c r="B106" s="54" t="s">
        <v>168</v>
      </c>
      <c r="C106" s="55" t="s">
        <v>177</v>
      </c>
    </row>
    <row r="107" spans="2:3" x14ac:dyDescent="0.2">
      <c r="B107" s="52" t="s">
        <v>168</v>
      </c>
      <c r="C107" s="50" t="s">
        <v>178</v>
      </c>
    </row>
    <row r="108" spans="2:3" x14ac:dyDescent="0.2">
      <c r="B108" s="54" t="s">
        <v>168</v>
      </c>
      <c r="C108" s="55" t="s">
        <v>179</v>
      </c>
    </row>
    <row r="109" spans="2:3" x14ac:dyDescent="0.2">
      <c r="B109" s="52" t="s">
        <v>180</v>
      </c>
      <c r="C109" s="50" t="s">
        <v>181</v>
      </c>
    </row>
    <row r="110" spans="2:3" x14ac:dyDescent="0.2">
      <c r="B110" s="54" t="s">
        <v>180</v>
      </c>
      <c r="C110" s="55" t="s">
        <v>182</v>
      </c>
    </row>
    <row r="111" spans="2:3" x14ac:dyDescent="0.2">
      <c r="B111" s="52" t="s">
        <v>180</v>
      </c>
      <c r="C111" s="50" t="s">
        <v>183</v>
      </c>
    </row>
    <row r="112" spans="2:3" x14ac:dyDescent="0.2">
      <c r="B112" s="54" t="s">
        <v>180</v>
      </c>
      <c r="C112" s="55" t="s">
        <v>184</v>
      </c>
    </row>
    <row r="113" spans="2:3" x14ac:dyDescent="0.2">
      <c r="B113" s="52" t="s">
        <v>180</v>
      </c>
      <c r="C113" s="50" t="s">
        <v>185</v>
      </c>
    </row>
    <row r="114" spans="2:3" x14ac:dyDescent="0.2">
      <c r="B114" s="54" t="s">
        <v>180</v>
      </c>
      <c r="C114" s="55" t="s">
        <v>186</v>
      </c>
    </row>
    <row r="115" spans="2:3" x14ac:dyDescent="0.2">
      <c r="B115" s="52" t="s">
        <v>180</v>
      </c>
      <c r="C115" s="50" t="s">
        <v>187</v>
      </c>
    </row>
    <row r="116" spans="2:3" x14ac:dyDescent="0.2">
      <c r="B116" s="54" t="s">
        <v>180</v>
      </c>
      <c r="C116" s="55" t="s">
        <v>188</v>
      </c>
    </row>
    <row r="117" spans="2:3" x14ac:dyDescent="0.2">
      <c r="B117" s="52" t="s">
        <v>180</v>
      </c>
      <c r="C117" s="50" t="s">
        <v>189</v>
      </c>
    </row>
    <row r="118" spans="2:3" x14ac:dyDescent="0.2">
      <c r="B118" s="54" t="s">
        <v>180</v>
      </c>
      <c r="C118" s="55" t="s">
        <v>190</v>
      </c>
    </row>
    <row r="119" spans="2:3" x14ac:dyDescent="0.2">
      <c r="B119" s="52" t="s">
        <v>180</v>
      </c>
      <c r="C119" s="50" t="s">
        <v>191</v>
      </c>
    </row>
    <row r="120" spans="2:3" x14ac:dyDescent="0.2">
      <c r="B120" s="54" t="s">
        <v>180</v>
      </c>
      <c r="C120" s="55" t="s">
        <v>192</v>
      </c>
    </row>
    <row r="121" spans="2:3" x14ac:dyDescent="0.2">
      <c r="B121" s="52" t="s">
        <v>180</v>
      </c>
      <c r="C121" s="50" t="s">
        <v>193</v>
      </c>
    </row>
    <row r="122" spans="2:3" x14ac:dyDescent="0.2">
      <c r="B122" s="54" t="s">
        <v>194</v>
      </c>
      <c r="C122" s="55" t="s">
        <v>195</v>
      </c>
    </row>
    <row r="123" spans="2:3" x14ac:dyDescent="0.2">
      <c r="B123" s="52" t="s">
        <v>194</v>
      </c>
      <c r="C123" s="50" t="s">
        <v>196</v>
      </c>
    </row>
    <row r="124" spans="2:3" x14ac:dyDescent="0.2">
      <c r="B124" s="54" t="s">
        <v>194</v>
      </c>
      <c r="C124" s="55" t="s">
        <v>197</v>
      </c>
    </row>
    <row r="125" spans="2:3" x14ac:dyDescent="0.2">
      <c r="B125" s="52" t="s">
        <v>194</v>
      </c>
      <c r="C125" s="50" t="s">
        <v>198</v>
      </c>
    </row>
    <row r="126" spans="2:3" x14ac:dyDescent="0.2">
      <c r="B126" s="54" t="s">
        <v>199</v>
      </c>
      <c r="C126" s="55" t="s">
        <v>200</v>
      </c>
    </row>
    <row r="127" spans="2:3" x14ac:dyDescent="0.2">
      <c r="B127" s="52" t="s">
        <v>199</v>
      </c>
      <c r="C127" s="50" t="s">
        <v>201</v>
      </c>
    </row>
    <row r="128" spans="2:3" x14ac:dyDescent="0.2">
      <c r="B128" s="54" t="s">
        <v>199</v>
      </c>
      <c r="C128" s="55" t="s">
        <v>202</v>
      </c>
    </row>
    <row r="129" spans="2:3" x14ac:dyDescent="0.2">
      <c r="B129" s="52" t="s">
        <v>199</v>
      </c>
      <c r="C129" s="50" t="s">
        <v>203</v>
      </c>
    </row>
    <row r="130" spans="2:3" x14ac:dyDescent="0.2">
      <c r="B130" s="54" t="s">
        <v>199</v>
      </c>
      <c r="C130" s="55" t="s">
        <v>204</v>
      </c>
    </row>
    <row r="131" spans="2:3" x14ac:dyDescent="0.2">
      <c r="B131" s="52" t="s">
        <v>199</v>
      </c>
      <c r="C131" s="50" t="s">
        <v>205</v>
      </c>
    </row>
    <row r="132" spans="2:3" x14ac:dyDescent="0.2">
      <c r="B132" s="54" t="s">
        <v>199</v>
      </c>
      <c r="C132" s="55" t="s">
        <v>206</v>
      </c>
    </row>
    <row r="133" spans="2:3" x14ac:dyDescent="0.2">
      <c r="B133" s="52" t="s">
        <v>199</v>
      </c>
      <c r="C133" s="50" t="s">
        <v>207</v>
      </c>
    </row>
    <row r="134" spans="2:3" x14ac:dyDescent="0.2">
      <c r="B134" s="54" t="s">
        <v>208</v>
      </c>
      <c r="C134" s="55" t="s">
        <v>209</v>
      </c>
    </row>
    <row r="135" spans="2:3" x14ac:dyDescent="0.2">
      <c r="B135" s="52" t="s">
        <v>208</v>
      </c>
      <c r="C135" s="50" t="s">
        <v>210</v>
      </c>
    </row>
    <row r="136" spans="2:3" x14ac:dyDescent="0.2">
      <c r="B136" s="54" t="s">
        <v>208</v>
      </c>
      <c r="C136" s="55" t="s">
        <v>211</v>
      </c>
    </row>
    <row r="137" spans="2:3" x14ac:dyDescent="0.2">
      <c r="B137" s="53" t="s">
        <v>208</v>
      </c>
      <c r="C137" s="51" t="s">
        <v>212</v>
      </c>
    </row>
    <row r="138" spans="2:3" x14ac:dyDescent="0.2"/>
    <row r="65536" spans="2:2" hidden="1" x14ac:dyDescent="0.2">
      <c r="B65536" s="40"/>
    </row>
  </sheetData>
  <pageMargins left="0.7" right="0.7" top="0.75" bottom="0.75" header="0.3" footer="0.3"/>
  <pageSetup paperSize="9" scale="79" fitToHeight="0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B1:D8"/>
  <sheetViews>
    <sheetView showGridLines="0" tabSelected="1" workbookViewId="0">
      <selection activeCell="D7" sqref="D7"/>
    </sheetView>
  </sheetViews>
  <sheetFormatPr defaultColWidth="0" defaultRowHeight="12.75" zeroHeight="1" x14ac:dyDescent="0.2"/>
  <cols>
    <col min="1" max="1" width="2.42578125" customWidth="1"/>
    <col min="2" max="2" width="49" bestFit="1" customWidth="1"/>
    <col min="3" max="3" width="9.140625" customWidth="1"/>
    <col min="4" max="4" width="196" customWidth="1"/>
    <col min="5" max="5" width="2.42578125" customWidth="1"/>
  </cols>
  <sheetData>
    <row r="1" spans="2:4" x14ac:dyDescent="0.2"/>
    <row r="2" spans="2:4" x14ac:dyDescent="0.2">
      <c r="B2" s="89" t="s">
        <v>11</v>
      </c>
      <c r="C2" s="90">
        <v>0.2</v>
      </c>
      <c r="D2" s="89"/>
    </row>
    <row r="3" spans="2:4" x14ac:dyDescent="0.2">
      <c r="B3" s="95" t="s">
        <v>12</v>
      </c>
      <c r="C3" s="96">
        <f>100*(2/3)</f>
        <v>66.666666666666657</v>
      </c>
      <c r="D3" s="54" t="s">
        <v>215</v>
      </c>
    </row>
    <row r="4" spans="2:4" x14ac:dyDescent="0.2">
      <c r="B4" s="91" t="s">
        <v>13</v>
      </c>
      <c r="C4" s="92">
        <f>100-C3</f>
        <v>33.333333333333343</v>
      </c>
      <c r="D4" s="91" t="s">
        <v>16</v>
      </c>
    </row>
    <row r="5" spans="2:4" x14ac:dyDescent="0.2">
      <c r="B5" s="95" t="s">
        <v>15</v>
      </c>
      <c r="C5" s="95">
        <f>1/(1-0.47)</f>
        <v>1.8867924528301885</v>
      </c>
      <c r="D5" s="97" t="s">
        <v>17</v>
      </c>
    </row>
    <row r="6" spans="2:4" x14ac:dyDescent="0.2">
      <c r="B6" s="91" t="s">
        <v>14</v>
      </c>
      <c r="C6" s="94">
        <v>0.47</v>
      </c>
      <c r="D6" s="93" t="s">
        <v>17</v>
      </c>
    </row>
    <row r="7" spans="2:4" x14ac:dyDescent="0.2">
      <c r="B7" s="86" t="s">
        <v>69</v>
      </c>
      <c r="C7" s="98">
        <v>105</v>
      </c>
      <c r="D7" s="111" t="s">
        <v>259</v>
      </c>
    </row>
    <row r="8" spans="2:4" x14ac:dyDescent="0.2"/>
  </sheetData>
  <hyperlinks>
    <hyperlink ref="D5" r:id="rId1" location="Type_2__lower_gross_up_rate" xr:uid="{00000000-0004-0000-0200-000000000000}"/>
    <hyperlink ref="D6" r:id="rId2" location="Type_2__lower_gross_up_rate" xr:uid="{00000000-0004-0000-0200-000001000000}"/>
    <hyperlink ref="D7" r:id="rId3" xr:uid="{00000000-0004-0000-0200-000002000000}"/>
  </hyperlinks>
  <pageMargins left="0.7" right="0.7" top="0.75" bottom="0.75" header="0.3" footer="0.3"/>
  <pageSetup paperSize="9" scale="52" fitToHeight="0" orientation="landscape" r:id="rId4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2"/>
  <sheetViews>
    <sheetView workbookViewId="0"/>
  </sheetViews>
  <sheetFormatPr defaultRowHeight="12.75" x14ac:dyDescent="0.2"/>
  <cols>
    <col min="1" max="1" width="21.42578125" bestFit="1" customWidth="1"/>
  </cols>
  <sheetData>
    <row r="1" spans="1:13" ht="140.25" x14ac:dyDescent="0.2">
      <c r="A1" s="40" t="s">
        <v>73</v>
      </c>
      <c r="B1" s="39" t="s">
        <v>74</v>
      </c>
      <c r="C1" s="39" t="s">
        <v>75</v>
      </c>
      <c r="D1" s="39" t="s">
        <v>76</v>
      </c>
      <c r="E1" s="39" t="s">
        <v>77</v>
      </c>
      <c r="F1" s="39" t="s">
        <v>78</v>
      </c>
      <c r="G1" s="39" t="s">
        <v>70</v>
      </c>
      <c r="H1" s="2"/>
      <c r="I1" s="2"/>
      <c r="J1" s="2"/>
      <c r="K1" s="2"/>
      <c r="L1" s="2"/>
      <c r="M1" s="2"/>
    </row>
    <row r="2" spans="1:13" x14ac:dyDescent="0.2">
      <c r="A2" t="s">
        <v>34</v>
      </c>
      <c r="B2">
        <v>12990</v>
      </c>
      <c r="C2">
        <v>15690</v>
      </c>
      <c r="D2">
        <v>12250</v>
      </c>
      <c r="E2">
        <v>14540</v>
      </c>
      <c r="F2">
        <v>18000</v>
      </c>
    </row>
    <row r="3" spans="1:13" x14ac:dyDescent="0.2">
      <c r="A3" t="s">
        <v>32</v>
      </c>
      <c r="B3" s="1">
        <v>11.69</v>
      </c>
      <c r="C3" s="1">
        <v>11.98</v>
      </c>
      <c r="D3" s="1">
        <v>11.43</v>
      </c>
      <c r="E3" s="1">
        <v>12.91</v>
      </c>
      <c r="F3" s="1">
        <v>16.739999999999998</v>
      </c>
      <c r="G3" s="1">
        <f>AVERAGE(B3:F3)</f>
        <v>12.95</v>
      </c>
      <c r="H3" s="1"/>
      <c r="I3" s="1"/>
      <c r="J3" s="1"/>
      <c r="K3" s="1"/>
      <c r="L3" s="1"/>
      <c r="M3" s="1"/>
    </row>
    <row r="4" spans="1:13" x14ac:dyDescent="0.2">
      <c r="A4" t="s">
        <v>33</v>
      </c>
      <c r="B4" s="1">
        <f>26.19</f>
        <v>26.19</v>
      </c>
      <c r="C4" s="1">
        <f>25.62</f>
        <v>25.62</v>
      </c>
      <c r="D4" s="1">
        <f>40.75</f>
        <v>40.75</v>
      </c>
      <c r="E4" s="1">
        <f>35.91</f>
        <v>35.909999999999997</v>
      </c>
      <c r="F4" s="1">
        <f>42.08</f>
        <v>42.08</v>
      </c>
      <c r="G4" s="1"/>
      <c r="H4" s="1"/>
      <c r="I4" s="1"/>
      <c r="J4" s="1"/>
      <c r="K4" s="1"/>
      <c r="L4" s="1"/>
      <c r="M4" s="1"/>
    </row>
    <row r="5" spans="1:13" x14ac:dyDescent="0.2">
      <c r="A5" s="40" t="s">
        <v>252</v>
      </c>
      <c r="B5">
        <v>31.23</v>
      </c>
      <c r="C5">
        <v>37.72</v>
      </c>
      <c r="D5">
        <v>31.33</v>
      </c>
      <c r="E5">
        <v>36.07</v>
      </c>
      <c r="F5">
        <v>38.770000000000003</v>
      </c>
    </row>
    <row r="6" spans="1:13" x14ac:dyDescent="0.2">
      <c r="A6" s="38"/>
    </row>
    <row r="7" spans="1:13" x14ac:dyDescent="0.2">
      <c r="C7" s="1"/>
    </row>
    <row r="8" spans="1:13" x14ac:dyDescent="0.2">
      <c r="A8" s="38" t="s">
        <v>68</v>
      </c>
    </row>
    <row r="9" spans="1:13" ht="13.5" thickBot="1" x14ac:dyDescent="0.25"/>
    <row r="10" spans="1:13" x14ac:dyDescent="0.2">
      <c r="A10" s="37" t="s">
        <v>35</v>
      </c>
      <c r="B10" s="37"/>
    </row>
    <row r="11" spans="1:13" x14ac:dyDescent="0.2">
      <c r="A11" s="34" t="s">
        <v>36</v>
      </c>
      <c r="B11" s="34">
        <v>0.20809725684780728</v>
      </c>
    </row>
    <row r="12" spans="1:13" x14ac:dyDescent="0.2">
      <c r="A12" s="34" t="s">
        <v>37</v>
      </c>
      <c r="B12" s="34">
        <v>4.3304468307582278E-2</v>
      </c>
    </row>
    <row r="13" spans="1:13" x14ac:dyDescent="0.2">
      <c r="A13" s="34" t="s">
        <v>38</v>
      </c>
      <c r="B13" s="34">
        <v>-1.6666666666666667</v>
      </c>
    </row>
    <row r="14" spans="1:13" x14ac:dyDescent="0.2">
      <c r="A14" s="34" t="s">
        <v>39</v>
      </c>
      <c r="B14" s="34">
        <v>8.8509689531516678</v>
      </c>
    </row>
    <row r="15" spans="1:13" ht="13.5" thickBot="1" x14ac:dyDescent="0.25">
      <c r="A15" s="35" t="s">
        <v>40</v>
      </c>
      <c r="B15" s="35">
        <v>1</v>
      </c>
    </row>
    <row r="17" spans="1:10" ht="13.5" thickBot="1" x14ac:dyDescent="0.25">
      <c r="A17" t="s">
        <v>41</v>
      </c>
    </row>
    <row r="18" spans="1:10" x14ac:dyDescent="0.2">
      <c r="A18" s="36"/>
      <c r="B18" s="36" t="s">
        <v>44</v>
      </c>
      <c r="C18" s="36" t="s">
        <v>45</v>
      </c>
      <c r="D18" s="36" t="s">
        <v>46</v>
      </c>
      <c r="E18" s="36" t="s">
        <v>47</v>
      </c>
      <c r="F18" s="36" t="s">
        <v>48</v>
      </c>
    </row>
    <row r="19" spans="1:10" x14ac:dyDescent="0.2">
      <c r="A19" s="34" t="s">
        <v>42</v>
      </c>
      <c r="B19" s="34">
        <v>5</v>
      </c>
      <c r="C19" s="34">
        <v>10.638045771035735</v>
      </c>
      <c r="D19" s="34">
        <v>2.1276091542071471</v>
      </c>
      <c r="E19" s="34">
        <v>0.13579388699864298</v>
      </c>
      <c r="F19" s="34" t="e">
        <v>#NUM!</v>
      </c>
    </row>
    <row r="20" spans="1:10" x14ac:dyDescent="0.2">
      <c r="A20" s="34" t="s">
        <v>16</v>
      </c>
      <c r="B20" s="34">
        <v>3</v>
      </c>
      <c r="C20" s="34">
        <v>235.01895422896416</v>
      </c>
      <c r="D20" s="34">
        <v>78.339651409654721</v>
      </c>
      <c r="E20" s="34"/>
      <c r="F20" s="34"/>
    </row>
    <row r="21" spans="1:10" ht="13.5" thickBot="1" x14ac:dyDescent="0.25">
      <c r="A21" s="35" t="s">
        <v>0</v>
      </c>
      <c r="B21" s="35">
        <v>8</v>
      </c>
      <c r="C21" s="35">
        <v>245.6569999999999</v>
      </c>
      <c r="D21" s="35"/>
      <c r="E21" s="35"/>
      <c r="F21" s="35"/>
    </row>
    <row r="22" spans="1:10" ht="13.5" thickBot="1" x14ac:dyDescent="0.25"/>
    <row r="23" spans="1:10" x14ac:dyDescent="0.2">
      <c r="A23" s="36"/>
      <c r="B23" s="36" t="s">
        <v>49</v>
      </c>
      <c r="C23" s="36" t="s">
        <v>39</v>
      </c>
      <c r="D23" s="36" t="s">
        <v>50</v>
      </c>
      <c r="E23" s="36" t="s">
        <v>51</v>
      </c>
      <c r="F23" s="36" t="s">
        <v>52</v>
      </c>
      <c r="G23" s="36" t="s">
        <v>53</v>
      </c>
      <c r="H23" s="36" t="s">
        <v>54</v>
      </c>
      <c r="I23" s="36" t="s">
        <v>55</v>
      </c>
    </row>
    <row r="24" spans="1:10" x14ac:dyDescent="0.2">
      <c r="A24" s="34" t="s">
        <v>43</v>
      </c>
      <c r="B24" s="34">
        <v>8.8509689531516678</v>
      </c>
      <c r="C24" s="34">
        <v>3</v>
      </c>
      <c r="D24" s="34">
        <v>2.9503229843838894</v>
      </c>
      <c r="E24" s="34">
        <v>6.0009053580434374E-2</v>
      </c>
      <c r="F24" s="34">
        <v>-0.69636996269946039</v>
      </c>
      <c r="G24" s="34">
        <v>18.398307869002796</v>
      </c>
      <c r="H24" s="34">
        <v>-0.69636996269946039</v>
      </c>
      <c r="I24" s="34">
        <v>18.398307869002796</v>
      </c>
    </row>
    <row r="25" spans="1:10" x14ac:dyDescent="0.2">
      <c r="A25" s="34" t="s">
        <v>56</v>
      </c>
      <c r="B25" s="34">
        <v>4.3304468307582278E-2</v>
      </c>
      <c r="C25" s="34">
        <v>0.13579388699864298</v>
      </c>
      <c r="D25" s="34">
        <v>0.31889851056413926</v>
      </c>
      <c r="E25" s="34">
        <v>0.7707172572062051</v>
      </c>
      <c r="F25" s="34">
        <v>-0.38885228565136254</v>
      </c>
      <c r="G25" s="34">
        <v>0.47546122226652709</v>
      </c>
      <c r="H25" s="34">
        <v>-0.38885228565136254</v>
      </c>
      <c r="I25" s="34">
        <v>0.47546122226652709</v>
      </c>
    </row>
    <row r="26" spans="1:10" x14ac:dyDescent="0.2">
      <c r="A26" s="34" t="s">
        <v>57</v>
      </c>
      <c r="B26" s="34">
        <v>28.775091903627558</v>
      </c>
      <c r="C26" s="34">
        <v>8.8509689531516678</v>
      </c>
      <c r="D26" s="34">
        <v>3.2510668669085407</v>
      </c>
      <c r="E26" s="34">
        <v>4.7451185921725994E-2</v>
      </c>
      <c r="F26" s="34">
        <v>0.60735846048921616</v>
      </c>
      <c r="G26" s="34">
        <v>56.9428253467659</v>
      </c>
      <c r="H26" s="34">
        <v>0.60735846048921616</v>
      </c>
      <c r="I26" s="34">
        <v>56.9428253467659</v>
      </c>
    </row>
    <row r="27" spans="1:10" x14ac:dyDescent="0.2">
      <c r="A27" s="34" t="s">
        <v>58</v>
      </c>
      <c r="B27" s="34">
        <v>1.9396722154140804E-3</v>
      </c>
      <c r="C27" s="34">
        <v>4.3304468307582278E-2</v>
      </c>
      <c r="D27" s="34">
        <v>4.479150284531859E-2</v>
      </c>
      <c r="E27" s="34">
        <v>0.96708820471248702</v>
      </c>
      <c r="F27" s="34">
        <v>-0.1358744729523266</v>
      </c>
      <c r="G27" s="34">
        <v>0.13975381738315476</v>
      </c>
      <c r="H27" s="34">
        <v>-0.1358744729523266</v>
      </c>
      <c r="I27" s="34">
        <v>0.13975381738315476</v>
      </c>
    </row>
    <row r="28" spans="1:10" x14ac:dyDescent="0.2">
      <c r="A28" s="34" t="s">
        <v>59</v>
      </c>
      <c r="B28" s="41">
        <v>23.607117901539333</v>
      </c>
      <c r="C28" s="34">
        <v>28.775091903627558</v>
      </c>
      <c r="D28" s="34">
        <v>0.82040112958121536</v>
      </c>
      <c r="E28" s="34">
        <v>0.47210331951088952</v>
      </c>
      <c r="F28" s="34">
        <v>-67.968067011359352</v>
      </c>
      <c r="G28" s="34">
        <v>115.18230281443803</v>
      </c>
      <c r="H28" s="34">
        <v>-67.968067011359352</v>
      </c>
      <c r="I28" s="34">
        <v>115.18230281443803</v>
      </c>
      <c r="J28" s="43" t="s">
        <v>71</v>
      </c>
    </row>
    <row r="29" spans="1:10" ht="13.5" thickBot="1" x14ac:dyDescent="0.25">
      <c r="A29" s="35" t="s">
        <v>60</v>
      </c>
      <c r="B29" s="42">
        <v>7.1477351969924234E-4</v>
      </c>
      <c r="C29" s="35">
        <v>1.9396722154140804E-3</v>
      </c>
      <c r="D29" s="35">
        <v>0.36850222115835835</v>
      </c>
      <c r="E29" s="35">
        <v>0.73696726982243621</v>
      </c>
      <c r="F29" s="35">
        <v>-5.4581291557067643E-3</v>
      </c>
      <c r="G29" s="35">
        <v>6.8876761951052485E-3</v>
      </c>
      <c r="H29" s="35">
        <v>-5.4581291557067643E-3</v>
      </c>
      <c r="I29" s="35">
        <v>6.8876761951052485E-3</v>
      </c>
      <c r="J29" s="43" t="s">
        <v>72</v>
      </c>
    </row>
    <row r="31" spans="1:10" x14ac:dyDescent="0.2">
      <c r="A31" s="38" t="s">
        <v>253</v>
      </c>
    </row>
    <row r="32" spans="1:10" ht="13.5" thickBot="1" x14ac:dyDescent="0.25"/>
    <row r="33" spans="1:9" x14ac:dyDescent="0.2">
      <c r="A33" s="37" t="s">
        <v>35</v>
      </c>
      <c r="B33" s="37"/>
    </row>
    <row r="34" spans="1:9" x14ac:dyDescent="0.2">
      <c r="A34" s="34" t="s">
        <v>36</v>
      </c>
      <c r="B34" s="34">
        <v>0.93813706743189051</v>
      </c>
    </row>
    <row r="35" spans="1:9" x14ac:dyDescent="0.2">
      <c r="A35" s="34" t="s">
        <v>37</v>
      </c>
      <c r="B35" s="34">
        <v>0.8801011572897075</v>
      </c>
    </row>
    <row r="36" spans="1:9" x14ac:dyDescent="0.2">
      <c r="A36" s="34" t="s">
        <v>38</v>
      </c>
      <c r="B36" s="34">
        <v>-1.6666666666666667</v>
      </c>
    </row>
    <row r="37" spans="1:9" x14ac:dyDescent="0.2">
      <c r="A37" s="34" t="s">
        <v>39</v>
      </c>
      <c r="B37" s="34">
        <v>1.4197549694641831</v>
      </c>
    </row>
    <row r="38" spans="1:9" ht="13.5" thickBot="1" x14ac:dyDescent="0.25">
      <c r="A38" s="35" t="s">
        <v>40</v>
      </c>
      <c r="B38" s="35">
        <v>1</v>
      </c>
    </row>
    <row r="40" spans="1:9" ht="13.5" thickBot="1" x14ac:dyDescent="0.25">
      <c r="A40" t="s">
        <v>41</v>
      </c>
    </row>
    <row r="41" spans="1:9" x14ac:dyDescent="0.2">
      <c r="A41" s="36"/>
      <c r="B41" s="36" t="s">
        <v>44</v>
      </c>
      <c r="C41" s="36" t="s">
        <v>45</v>
      </c>
      <c r="D41" s="36" t="s">
        <v>46</v>
      </c>
      <c r="E41" s="36" t="s">
        <v>47</v>
      </c>
      <c r="F41" s="36" t="s">
        <v>48</v>
      </c>
    </row>
    <row r="42" spans="1:9" x14ac:dyDescent="0.2">
      <c r="A42" s="34" t="s">
        <v>42</v>
      </c>
      <c r="B42" s="34">
        <v>5</v>
      </c>
      <c r="C42" s="34">
        <v>44.388007480045296</v>
      </c>
      <c r="D42" s="34">
        <v>8.8776014960090599</v>
      </c>
      <c r="E42" s="34">
        <v>22.021092215617113</v>
      </c>
      <c r="F42" s="34" t="e">
        <v>#NUM!</v>
      </c>
    </row>
    <row r="43" spans="1:9" x14ac:dyDescent="0.2">
      <c r="A43" s="34" t="s">
        <v>16</v>
      </c>
      <c r="B43" s="34">
        <v>3</v>
      </c>
      <c r="C43" s="34">
        <v>6.0471125199547302</v>
      </c>
      <c r="D43" s="34">
        <v>2.0157041733182433</v>
      </c>
      <c r="E43" s="34"/>
      <c r="F43" s="34"/>
    </row>
    <row r="44" spans="1:9" ht="13.5" thickBot="1" x14ac:dyDescent="0.25">
      <c r="A44" s="35" t="s">
        <v>0</v>
      </c>
      <c r="B44" s="35">
        <v>8</v>
      </c>
      <c r="C44" s="35">
        <v>50.435120000000026</v>
      </c>
      <c r="D44" s="35"/>
      <c r="E44" s="35"/>
      <c r="F44" s="35"/>
    </row>
    <row r="45" spans="1:9" ht="13.5" thickBot="1" x14ac:dyDescent="0.25"/>
    <row r="46" spans="1:9" x14ac:dyDescent="0.2">
      <c r="A46" s="36"/>
      <c r="B46" s="36" t="s">
        <v>49</v>
      </c>
      <c r="C46" s="36" t="s">
        <v>39</v>
      </c>
      <c r="D46" s="36" t="s">
        <v>50</v>
      </c>
      <c r="E46" s="36" t="s">
        <v>51</v>
      </c>
      <c r="F46" s="36" t="s">
        <v>52</v>
      </c>
      <c r="G46" s="36" t="s">
        <v>53</v>
      </c>
      <c r="H46" s="36" t="s">
        <v>54</v>
      </c>
      <c r="I46" s="36" t="s">
        <v>55</v>
      </c>
    </row>
    <row r="47" spans="1:9" x14ac:dyDescent="0.2">
      <c r="A47" s="34" t="s">
        <v>43</v>
      </c>
      <c r="B47" s="34"/>
      <c r="C47" s="34"/>
      <c r="D47" s="34"/>
      <c r="E47" s="34"/>
      <c r="F47" s="34"/>
      <c r="G47" s="34"/>
      <c r="H47" s="34">
        <v>0</v>
      </c>
      <c r="I47" s="34">
        <v>0</v>
      </c>
    </row>
    <row r="48" spans="1:9" x14ac:dyDescent="0.2">
      <c r="A48" s="34" t="s">
        <v>56</v>
      </c>
      <c r="B48" s="34"/>
      <c r="C48" s="34"/>
      <c r="D48" s="34"/>
      <c r="E48" s="34"/>
      <c r="F48" s="34"/>
      <c r="G48" s="34"/>
      <c r="H48" s="34">
        <v>-8.7802402590105145E-36</v>
      </c>
      <c r="I48" s="34">
        <v>1.6826477399189887E-35</v>
      </c>
    </row>
    <row r="49" spans="1:10" x14ac:dyDescent="0.2">
      <c r="A49" s="34" t="s">
        <v>57</v>
      </c>
      <c r="B49" s="34"/>
      <c r="C49" s="34"/>
      <c r="D49" s="34"/>
      <c r="E49" s="34"/>
      <c r="F49" s="34"/>
      <c r="G49" s="34"/>
      <c r="H49" s="34">
        <v>-4.3600738544514135E-294</v>
      </c>
      <c r="I49" s="34">
        <v>4.3600738544514135E-294</v>
      </c>
    </row>
    <row r="50" spans="1:10" x14ac:dyDescent="0.2">
      <c r="A50" s="34" t="s">
        <v>58</v>
      </c>
      <c r="B50" s="34"/>
      <c r="C50" s="34"/>
      <c r="D50" s="34"/>
      <c r="E50" s="34"/>
      <c r="F50" s="34"/>
      <c r="G50" s="34"/>
      <c r="H50" s="34">
        <v>4.0231185700896863E-36</v>
      </c>
      <c r="I50" s="34">
        <v>4.0231185700896863E-36</v>
      </c>
    </row>
    <row r="51" spans="1:10" x14ac:dyDescent="0.2">
      <c r="A51" s="34" t="s">
        <v>59</v>
      </c>
      <c r="B51" s="41">
        <v>13.56989566864468</v>
      </c>
      <c r="C51" s="34">
        <v>4.6157183403537525</v>
      </c>
      <c r="D51" s="34">
        <v>2.9399314836885546</v>
      </c>
      <c r="E51" s="34">
        <v>6.0513540596022493E-2</v>
      </c>
      <c r="F51" s="34">
        <v>-1.1193801098443732</v>
      </c>
      <c r="G51" s="34">
        <v>28.259171447133731</v>
      </c>
      <c r="H51" s="34">
        <v>-1.1193801098443732</v>
      </c>
      <c r="I51" s="34">
        <v>28.259171447133731</v>
      </c>
      <c r="J51" s="43" t="s">
        <v>71</v>
      </c>
    </row>
    <row r="52" spans="1:10" ht="13.5" thickBot="1" x14ac:dyDescent="0.25">
      <c r="A52" s="35" t="s">
        <v>60</v>
      </c>
      <c r="B52" s="42">
        <v>1.4600588220603865E-3</v>
      </c>
      <c r="C52" s="35">
        <v>3.1113647348013162E-4</v>
      </c>
      <c r="D52" s="35">
        <v>4.6926636589060076</v>
      </c>
      <c r="E52" s="35">
        <v>1.8298186312031086E-2</v>
      </c>
      <c r="F52" s="35">
        <v>4.6988370159453891E-4</v>
      </c>
      <c r="G52" s="35">
        <v>2.4502339425262342E-3</v>
      </c>
      <c r="H52" s="35">
        <v>4.6988370159453891E-4</v>
      </c>
      <c r="I52" s="35">
        <v>2.4502339425262342E-3</v>
      </c>
      <c r="J52" s="43" t="s">
        <v>72</v>
      </c>
    </row>
  </sheetData>
  <pageMargins left="0.7" right="0.7" top="0.75" bottom="0.75" header="0.3" footer="0.3"/>
  <pageSetup paperSize="9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6"/>
  <sheetViews>
    <sheetView workbookViewId="0">
      <selection activeCell="D7" sqref="D7"/>
    </sheetView>
  </sheetViews>
  <sheetFormatPr defaultRowHeight="12.75" x14ac:dyDescent="0.2"/>
  <cols>
    <col min="1" max="1" width="21.42578125" bestFit="1" customWidth="1"/>
  </cols>
  <sheetData>
    <row r="1" spans="1:14" ht="165.75" x14ac:dyDescent="0.2">
      <c r="A1" s="40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31</v>
      </c>
      <c r="N1" s="39" t="s">
        <v>70</v>
      </c>
    </row>
    <row r="2" spans="1:14" x14ac:dyDescent="0.2">
      <c r="A2" t="s">
        <v>34</v>
      </c>
      <c r="B2">
        <v>16990</v>
      </c>
      <c r="C2">
        <v>16990</v>
      </c>
      <c r="D2">
        <v>16990</v>
      </c>
      <c r="E2">
        <v>17825</v>
      </c>
      <c r="F2">
        <v>19090</v>
      </c>
      <c r="G2">
        <v>16820</v>
      </c>
      <c r="H2">
        <v>17190</v>
      </c>
      <c r="I2">
        <v>19690</v>
      </c>
      <c r="J2">
        <v>23450</v>
      </c>
      <c r="K2">
        <v>21500</v>
      </c>
      <c r="L2">
        <v>28600</v>
      </c>
      <c r="M2">
        <v>29000</v>
      </c>
    </row>
    <row r="3" spans="1:14" x14ac:dyDescent="0.2">
      <c r="A3" t="s">
        <v>32</v>
      </c>
      <c r="B3" s="1">
        <v>13.55</v>
      </c>
      <c r="C3" s="1">
        <v>13.96</v>
      </c>
      <c r="D3" s="1">
        <v>14.35</v>
      </c>
      <c r="E3" s="1">
        <v>12.81</v>
      </c>
      <c r="F3" s="1">
        <v>13.42</v>
      </c>
      <c r="G3" s="1">
        <v>16.13</v>
      </c>
      <c r="H3" s="1">
        <v>14.58</v>
      </c>
      <c r="I3" s="1">
        <v>14.8</v>
      </c>
      <c r="J3" s="1">
        <v>14.34</v>
      </c>
      <c r="K3" s="1">
        <v>14.01</v>
      </c>
      <c r="L3" s="1">
        <v>13.93</v>
      </c>
      <c r="M3" s="1">
        <v>14.25</v>
      </c>
      <c r="N3" s="1">
        <f>AVERAGE(B3:M3)</f>
        <v>14.1775</v>
      </c>
    </row>
    <row r="4" spans="1:14" x14ac:dyDescent="0.2">
      <c r="A4" t="s">
        <v>33</v>
      </c>
      <c r="B4" s="1">
        <f>31.92</f>
        <v>31.92</v>
      </c>
      <c r="C4" s="110">
        <f>34.73</f>
        <v>34.729999999999997</v>
      </c>
      <c r="D4" s="1">
        <f>39.15</f>
        <v>39.15</v>
      </c>
      <c r="E4" s="1">
        <f>38.95</f>
        <v>38.950000000000003</v>
      </c>
      <c r="F4" s="1">
        <f>40</f>
        <v>40</v>
      </c>
      <c r="G4" s="1">
        <f>41.91</f>
        <v>41.91</v>
      </c>
      <c r="H4" s="1">
        <f>41.72</f>
        <v>41.72</v>
      </c>
      <c r="I4" s="1">
        <f>42</f>
        <v>42</v>
      </c>
      <c r="J4" s="1">
        <f>41.86</f>
        <v>41.86</v>
      </c>
      <c r="K4" s="1">
        <f>43.09</f>
        <v>43.09</v>
      </c>
      <c r="L4" s="1">
        <f>47.95</f>
        <v>47.95</v>
      </c>
      <c r="M4" s="1">
        <f>46.31</f>
        <v>46.31</v>
      </c>
    </row>
    <row r="5" spans="1:14" x14ac:dyDescent="0.2">
      <c r="A5" s="40" t="s">
        <v>252</v>
      </c>
      <c r="B5">
        <v>42.15</v>
      </c>
      <c r="C5">
        <v>40.19</v>
      </c>
      <c r="D5">
        <v>37.25</v>
      </c>
      <c r="E5">
        <v>43.53</v>
      </c>
      <c r="F5">
        <v>45.89</v>
      </c>
      <c r="G5">
        <v>37.520000000000003</v>
      </c>
      <c r="H5">
        <v>43.31</v>
      </c>
      <c r="I5">
        <v>49.6</v>
      </c>
      <c r="J5">
        <v>50.51</v>
      </c>
      <c r="K5">
        <v>53.34</v>
      </c>
      <c r="L5">
        <v>59.4</v>
      </c>
      <c r="M5">
        <v>70.83</v>
      </c>
    </row>
    <row r="6" spans="1:14" x14ac:dyDescent="0.2">
      <c r="A6" s="38"/>
    </row>
    <row r="7" spans="1:14" x14ac:dyDescent="0.2">
      <c r="C7" s="1"/>
    </row>
    <row r="8" spans="1:14" x14ac:dyDescent="0.2">
      <c r="A8" s="38" t="s">
        <v>68</v>
      </c>
    </row>
    <row r="9" spans="1:14" ht="13.5" thickBot="1" x14ac:dyDescent="0.25"/>
    <row r="10" spans="1:14" x14ac:dyDescent="0.2">
      <c r="A10" s="37" t="s">
        <v>35</v>
      </c>
      <c r="B10" s="37"/>
    </row>
    <row r="11" spans="1:14" x14ac:dyDescent="0.2">
      <c r="A11" s="34" t="s">
        <v>36</v>
      </c>
      <c r="B11" s="34">
        <v>0.76975927068627392</v>
      </c>
    </row>
    <row r="12" spans="1:14" x14ac:dyDescent="0.2">
      <c r="A12" s="34" t="s">
        <v>37</v>
      </c>
      <c r="B12" s="34">
        <v>0.59252933480746439</v>
      </c>
    </row>
    <row r="13" spans="1:14" x14ac:dyDescent="0.2">
      <c r="A13" s="34" t="s">
        <v>38</v>
      </c>
      <c r="B13" s="34">
        <v>-1.2</v>
      </c>
    </row>
    <row r="14" spans="1:14" x14ac:dyDescent="0.2">
      <c r="A14" s="34" t="s">
        <v>39</v>
      </c>
      <c r="B14" s="34">
        <v>2.9519292253524134</v>
      </c>
    </row>
    <row r="15" spans="1:14" ht="13.5" thickBot="1" x14ac:dyDescent="0.25">
      <c r="A15" s="35" t="s">
        <v>40</v>
      </c>
      <c r="B15" s="35">
        <v>1</v>
      </c>
    </row>
    <row r="17" spans="1:9" ht="13.5" thickBot="1" x14ac:dyDescent="0.25">
      <c r="A17" t="s">
        <v>41</v>
      </c>
    </row>
    <row r="18" spans="1:9" x14ac:dyDescent="0.2">
      <c r="A18" s="36"/>
      <c r="B18" s="36" t="s">
        <v>44</v>
      </c>
      <c r="C18" s="36" t="s">
        <v>45</v>
      </c>
      <c r="D18" s="36" t="s">
        <v>46</v>
      </c>
      <c r="E18" s="36" t="s">
        <v>47</v>
      </c>
      <c r="F18" s="36" t="s">
        <v>48</v>
      </c>
    </row>
    <row r="19" spans="1:9" x14ac:dyDescent="0.2">
      <c r="A19" s="34" t="s">
        <v>42</v>
      </c>
      <c r="B19" s="34">
        <v>12</v>
      </c>
      <c r="C19" s="34">
        <v>126.71423015176977</v>
      </c>
      <c r="D19" s="34">
        <v>10.559519179314147</v>
      </c>
      <c r="E19" s="34">
        <v>14.541643986260606</v>
      </c>
      <c r="F19" s="34" t="e">
        <v>#NUM!</v>
      </c>
    </row>
    <row r="20" spans="1:9" x14ac:dyDescent="0.2">
      <c r="A20" s="34" t="s">
        <v>16</v>
      </c>
      <c r="B20" s="34">
        <v>10</v>
      </c>
      <c r="C20" s="34">
        <v>87.138861514896988</v>
      </c>
      <c r="D20" s="34">
        <v>8.7138861514896995</v>
      </c>
      <c r="E20" s="34"/>
      <c r="F20" s="34"/>
    </row>
    <row r="21" spans="1:9" ht="13.5" thickBot="1" x14ac:dyDescent="0.25">
      <c r="A21" s="35" t="s">
        <v>0</v>
      </c>
      <c r="B21" s="35">
        <v>22</v>
      </c>
      <c r="C21" s="35">
        <v>213.85309166666676</v>
      </c>
      <c r="D21" s="35"/>
      <c r="E21" s="35"/>
      <c r="F21" s="35"/>
    </row>
    <row r="22" spans="1:9" ht="13.5" thickBot="1" x14ac:dyDescent="0.25"/>
    <row r="23" spans="1:9" x14ac:dyDescent="0.2">
      <c r="A23" s="36"/>
      <c r="B23" s="36" t="s">
        <v>49</v>
      </c>
      <c r="C23" s="36" t="s">
        <v>39</v>
      </c>
      <c r="D23" s="36" t="s">
        <v>50</v>
      </c>
      <c r="E23" s="36" t="s">
        <v>51</v>
      </c>
      <c r="F23" s="36" t="s">
        <v>52</v>
      </c>
      <c r="G23" s="36" t="s">
        <v>53</v>
      </c>
      <c r="H23" s="36" t="s">
        <v>54</v>
      </c>
      <c r="I23" s="36" t="s">
        <v>55</v>
      </c>
    </row>
    <row r="24" spans="1:9" x14ac:dyDescent="0.2">
      <c r="A24" s="34" t="s">
        <v>43</v>
      </c>
      <c r="B24" s="34"/>
      <c r="C24" s="34"/>
      <c r="D24" s="34"/>
      <c r="E24" s="34"/>
      <c r="F24" s="34"/>
      <c r="G24" s="34"/>
      <c r="H24" s="34">
        <v>-6.7608134847925996E+96</v>
      </c>
      <c r="I24" s="34">
        <v>6.7608134847925996E+96</v>
      </c>
    </row>
    <row r="25" spans="1:9" x14ac:dyDescent="0.2">
      <c r="A25" s="34" t="s">
        <v>56</v>
      </c>
      <c r="B25" s="34"/>
      <c r="C25" s="34"/>
      <c r="D25" s="34"/>
      <c r="E25" s="34"/>
      <c r="F25" s="34"/>
      <c r="G25" s="34"/>
      <c r="H25" s="34">
        <v>87.138861514896988</v>
      </c>
      <c r="I25" s="34">
        <v>87.138861514896988</v>
      </c>
    </row>
    <row r="26" spans="1:9" x14ac:dyDescent="0.2">
      <c r="A26" s="34" t="s">
        <v>57</v>
      </c>
      <c r="B26" s="34"/>
      <c r="C26" s="34"/>
      <c r="D26" s="34"/>
      <c r="E26" s="34"/>
      <c r="F26" s="34"/>
      <c r="G26" s="34"/>
      <c r="H26" s="34">
        <v>126.71423015176977</v>
      </c>
      <c r="I26" s="34">
        <v>126.71423015176977</v>
      </c>
    </row>
    <row r="27" spans="1:9" x14ac:dyDescent="0.2">
      <c r="A27" s="34" t="s">
        <v>58</v>
      </c>
      <c r="B27" s="34"/>
      <c r="C27" s="34"/>
      <c r="D27" s="34"/>
      <c r="E27" s="34"/>
      <c r="F27" s="34"/>
      <c r="G27" s="34"/>
      <c r="H27" s="34">
        <v>65535</v>
      </c>
      <c r="I27" s="34">
        <v>65535</v>
      </c>
    </row>
    <row r="28" spans="1:9" x14ac:dyDescent="0.2">
      <c r="A28" s="34" t="s">
        <v>59</v>
      </c>
      <c r="B28" s="34"/>
      <c r="C28" s="34"/>
      <c r="D28" s="34"/>
      <c r="E28" s="34"/>
      <c r="F28" s="34"/>
      <c r="G28" s="34"/>
      <c r="H28" s="34">
        <v>-282.33689930068886</v>
      </c>
      <c r="I28" s="34">
        <v>282.33689930068886</v>
      </c>
    </row>
    <row r="29" spans="1:9" x14ac:dyDescent="0.2">
      <c r="A29" s="34" t="s">
        <v>60</v>
      </c>
      <c r="B29" s="34"/>
      <c r="C29" s="34"/>
      <c r="D29" s="34"/>
      <c r="E29" s="34"/>
      <c r="F29" s="34"/>
      <c r="G29" s="34"/>
      <c r="H29" s="34">
        <v>65535</v>
      </c>
      <c r="I29" s="34">
        <v>65535</v>
      </c>
    </row>
    <row r="30" spans="1:9" x14ac:dyDescent="0.2">
      <c r="A30" s="34" t="s">
        <v>61</v>
      </c>
      <c r="B30" s="34"/>
      <c r="C30" s="34"/>
      <c r="D30" s="34"/>
      <c r="E30" s="34"/>
      <c r="F30" s="34"/>
      <c r="G30" s="34"/>
      <c r="H30" s="34">
        <v>14.541643986260606</v>
      </c>
      <c r="I30" s="34">
        <v>14.541643986260606</v>
      </c>
    </row>
    <row r="31" spans="1:9" x14ac:dyDescent="0.2">
      <c r="A31" s="34" t="s">
        <v>62</v>
      </c>
      <c r="B31" s="34">
        <v>2.9519292253524134</v>
      </c>
      <c r="C31" s="34">
        <v>10</v>
      </c>
      <c r="D31" s="34">
        <v>0.29519292253524132</v>
      </c>
      <c r="E31" s="34">
        <v>0.77388446185352744</v>
      </c>
      <c r="F31" s="34">
        <v>-19.329459294510333</v>
      </c>
      <c r="G31" s="34">
        <v>25.233317745215157</v>
      </c>
      <c r="H31" s="34">
        <v>-19.329459294510333</v>
      </c>
      <c r="I31" s="34">
        <v>25.233317745215157</v>
      </c>
    </row>
    <row r="32" spans="1:9" x14ac:dyDescent="0.2">
      <c r="A32" s="34" t="s">
        <v>63</v>
      </c>
      <c r="B32" s="34">
        <v>0.59252933480746439</v>
      </c>
      <c r="C32" s="34">
        <v>14.541643986260606</v>
      </c>
      <c r="D32" s="34">
        <v>4.0747066519253555E-2</v>
      </c>
      <c r="E32" s="34">
        <v>0.96829959877214411</v>
      </c>
      <c r="F32" s="34">
        <v>-31.808272602732352</v>
      </c>
      <c r="G32" s="34">
        <v>32.993331272347284</v>
      </c>
      <c r="H32" s="34">
        <v>-31.808272602732352</v>
      </c>
      <c r="I32" s="34">
        <v>32.993331272347284</v>
      </c>
    </row>
    <row r="33" spans="1:10" x14ac:dyDescent="0.2">
      <c r="A33" s="34" t="s">
        <v>64</v>
      </c>
      <c r="B33" s="34">
        <v>4.1509529837690087</v>
      </c>
      <c r="C33" s="34">
        <v>2.9519292253524134</v>
      </c>
      <c r="D33" s="34">
        <v>1.4061830981985861</v>
      </c>
      <c r="E33" s="34">
        <v>0.1899745160107745</v>
      </c>
      <c r="F33" s="34">
        <v>-2.4263552115524503</v>
      </c>
      <c r="G33" s="34">
        <v>10.728261179090467</v>
      </c>
      <c r="H33" s="34">
        <v>-2.4263552115524503</v>
      </c>
      <c r="I33" s="34">
        <v>10.728261179090467</v>
      </c>
    </row>
    <row r="34" spans="1:10" x14ac:dyDescent="0.2">
      <c r="A34" s="34" t="s">
        <v>65</v>
      </c>
      <c r="B34" s="34">
        <v>1.9968670141614451E-4</v>
      </c>
      <c r="C34" s="34">
        <v>0.59252933480746439</v>
      </c>
      <c r="D34" s="34">
        <v>3.370072833289012E-4</v>
      </c>
      <c r="E34" s="34">
        <v>0.99973773528665899</v>
      </c>
      <c r="F34" s="34">
        <v>-1.3200379451246782</v>
      </c>
      <c r="G34" s="34">
        <v>1.3204373185275107</v>
      </c>
      <c r="H34" s="34">
        <v>-1.3200379451246782</v>
      </c>
      <c r="I34" s="34">
        <v>1.3204373185275107</v>
      </c>
    </row>
    <row r="35" spans="1:10" x14ac:dyDescent="0.2">
      <c r="A35" s="34" t="s">
        <v>66</v>
      </c>
      <c r="B35" s="41">
        <v>25.307266248344259</v>
      </c>
      <c r="C35" s="34">
        <v>4.1509529837690087</v>
      </c>
      <c r="D35" s="34">
        <v>6.0967364234912642</v>
      </c>
      <c r="E35" s="34">
        <v>1.1619336229551045E-4</v>
      </c>
      <c r="F35" s="34">
        <v>16.05836663244018</v>
      </c>
      <c r="G35" s="34">
        <v>34.556165864248342</v>
      </c>
      <c r="H35" s="34">
        <v>16.05836663244018</v>
      </c>
      <c r="I35" s="34">
        <v>34.556165864248342</v>
      </c>
      <c r="J35" s="43" t="s">
        <v>71</v>
      </c>
    </row>
    <row r="36" spans="1:10" ht="13.5" thickBot="1" x14ac:dyDescent="0.25">
      <c r="A36" s="35" t="s">
        <v>67</v>
      </c>
      <c r="B36" s="42">
        <v>7.6147543375537695E-4</v>
      </c>
      <c r="C36" s="35">
        <v>1.9968670141614451E-4</v>
      </c>
      <c r="D36" s="35">
        <v>3.8133507557344641</v>
      </c>
      <c r="E36" s="35">
        <v>3.4104532736090477E-3</v>
      </c>
      <c r="F36" s="35">
        <v>3.1654573610508276E-4</v>
      </c>
      <c r="G36" s="35">
        <v>1.2064051314056711E-3</v>
      </c>
      <c r="H36" s="35">
        <v>3.1654573610508276E-4</v>
      </c>
      <c r="I36" s="35">
        <v>1.2064051314056711E-3</v>
      </c>
      <c r="J36" s="43" t="s">
        <v>72</v>
      </c>
    </row>
    <row r="38" spans="1:10" x14ac:dyDescent="0.2">
      <c r="A38" s="38" t="s">
        <v>253</v>
      </c>
    </row>
    <row r="39" spans="1:10" ht="13.5" thickBot="1" x14ac:dyDescent="0.25"/>
    <row r="40" spans="1:10" x14ac:dyDescent="0.2">
      <c r="A40" s="37" t="s">
        <v>35</v>
      </c>
      <c r="B40" s="37"/>
    </row>
    <row r="41" spans="1:10" x14ac:dyDescent="0.2">
      <c r="A41" s="34" t="s">
        <v>36</v>
      </c>
      <c r="B41" s="34">
        <v>0.9416596910815398</v>
      </c>
    </row>
    <row r="42" spans="1:10" x14ac:dyDescent="0.2">
      <c r="A42" s="34" t="s">
        <v>37</v>
      </c>
      <c r="B42" s="34">
        <v>0.88672297380778087</v>
      </c>
    </row>
    <row r="43" spans="1:10" x14ac:dyDescent="0.2">
      <c r="A43" s="34" t="s">
        <v>38</v>
      </c>
      <c r="B43" s="34">
        <v>-1.2</v>
      </c>
    </row>
    <row r="44" spans="1:10" x14ac:dyDescent="0.2">
      <c r="A44" s="34" t="s">
        <v>39</v>
      </c>
      <c r="B44" s="34">
        <v>3.4571013016209768</v>
      </c>
    </row>
    <row r="45" spans="1:10" ht="13.5" thickBot="1" x14ac:dyDescent="0.25">
      <c r="A45" s="35" t="s">
        <v>40</v>
      </c>
      <c r="B45" s="35">
        <v>1</v>
      </c>
    </row>
    <row r="47" spans="1:10" ht="13.5" thickBot="1" x14ac:dyDescent="0.25">
      <c r="A47" t="s">
        <v>41</v>
      </c>
    </row>
    <row r="48" spans="1:10" x14ac:dyDescent="0.2">
      <c r="A48" s="36"/>
      <c r="B48" s="36" t="s">
        <v>44</v>
      </c>
      <c r="C48" s="36" t="s">
        <v>45</v>
      </c>
      <c r="D48" s="36" t="s">
        <v>46</v>
      </c>
      <c r="E48" s="36" t="s">
        <v>47</v>
      </c>
      <c r="F48" s="36" t="s">
        <v>48</v>
      </c>
    </row>
    <row r="49" spans="1:9" x14ac:dyDescent="0.2">
      <c r="A49" s="34" t="s">
        <v>42</v>
      </c>
      <c r="B49" s="34">
        <v>12</v>
      </c>
      <c r="C49" s="34">
        <v>935.55717256997195</v>
      </c>
      <c r="D49" s="34">
        <v>77.963097714164334</v>
      </c>
      <c r="E49" s="34">
        <v>78.279153647899022</v>
      </c>
      <c r="F49" s="34" t="e">
        <v>#NUM!</v>
      </c>
    </row>
    <row r="50" spans="1:9" x14ac:dyDescent="0.2">
      <c r="A50" s="34" t="s">
        <v>16</v>
      </c>
      <c r="B50" s="34">
        <v>10</v>
      </c>
      <c r="C50" s="34">
        <v>119.51549409669452</v>
      </c>
      <c r="D50" s="34">
        <v>11.951549409669452</v>
      </c>
      <c r="E50" s="34"/>
      <c r="F50" s="34"/>
    </row>
    <row r="51" spans="1:9" ht="13.5" thickBot="1" x14ac:dyDescent="0.25">
      <c r="A51" s="35" t="s">
        <v>0</v>
      </c>
      <c r="B51" s="35">
        <v>22</v>
      </c>
      <c r="C51" s="35">
        <v>1055.0726666666665</v>
      </c>
      <c r="D51" s="35"/>
      <c r="E51" s="35"/>
      <c r="F51" s="35"/>
    </row>
    <row r="52" spans="1:9" ht="13.5" thickBot="1" x14ac:dyDescent="0.25"/>
    <row r="53" spans="1:9" x14ac:dyDescent="0.2">
      <c r="A53" s="36"/>
      <c r="B53" s="36" t="s">
        <v>49</v>
      </c>
      <c r="C53" s="36" t="s">
        <v>39</v>
      </c>
      <c r="D53" s="36" t="s">
        <v>50</v>
      </c>
      <c r="E53" s="36" t="s">
        <v>51</v>
      </c>
      <c r="F53" s="36" t="s">
        <v>52</v>
      </c>
      <c r="G53" s="36" t="s">
        <v>53</v>
      </c>
      <c r="H53" s="36" t="s">
        <v>54</v>
      </c>
      <c r="I53" s="36" t="s">
        <v>55</v>
      </c>
    </row>
    <row r="54" spans="1:9" x14ac:dyDescent="0.2">
      <c r="A54" s="34" t="s">
        <v>43</v>
      </c>
      <c r="B54" s="34"/>
      <c r="C54" s="34"/>
      <c r="D54" s="34"/>
      <c r="E54" s="34"/>
      <c r="F54" s="34"/>
      <c r="G54" s="34"/>
      <c r="H54" s="34">
        <v>0</v>
      </c>
      <c r="I54" s="34">
        <v>0</v>
      </c>
    </row>
    <row r="55" spans="1:9" x14ac:dyDescent="0.2">
      <c r="A55" s="34" t="s">
        <v>56</v>
      </c>
      <c r="B55" s="34"/>
      <c r="C55" s="34"/>
      <c r="D55" s="34"/>
      <c r="E55" s="34"/>
      <c r="F55" s="34"/>
      <c r="G55" s="34"/>
      <c r="H55" s="34">
        <v>1.7802084776096765E-306</v>
      </c>
      <c r="I55" s="34">
        <v>1.7802084776096765E-306</v>
      </c>
    </row>
    <row r="56" spans="1:9" x14ac:dyDescent="0.2">
      <c r="A56" s="34" t="s">
        <v>57</v>
      </c>
      <c r="B56" s="34"/>
      <c r="C56" s="34"/>
      <c r="D56" s="34"/>
      <c r="E56" s="34"/>
      <c r="F56" s="34"/>
      <c r="G56" s="34"/>
      <c r="H56" s="34">
        <v>3.3381477341696402E-308</v>
      </c>
      <c r="I56" s="34">
        <v>3.3381612414117895E-308</v>
      </c>
    </row>
    <row r="57" spans="1:9" x14ac:dyDescent="0.2">
      <c r="A57" s="34" t="s">
        <v>58</v>
      </c>
      <c r="B57" s="34"/>
      <c r="C57" s="34"/>
      <c r="D57" s="34"/>
      <c r="E57" s="34"/>
      <c r="F57" s="34"/>
      <c r="G57" s="34"/>
      <c r="H57" s="34">
        <v>1.7802084776096765E-306</v>
      </c>
      <c r="I57" s="34">
        <v>1.7802084776096765E-306</v>
      </c>
    </row>
    <row r="58" spans="1:9" x14ac:dyDescent="0.2">
      <c r="A58" s="34" t="s">
        <v>59</v>
      </c>
      <c r="B58" s="34"/>
      <c r="C58" s="34"/>
      <c r="D58" s="34"/>
      <c r="E58" s="34"/>
      <c r="F58" s="34"/>
      <c r="G58" s="34"/>
      <c r="H58" s="34">
        <v>3.3382156380349194E-308</v>
      </c>
      <c r="I58" s="34">
        <v>3.3382291452770688E-308</v>
      </c>
    </row>
    <row r="59" spans="1:9" x14ac:dyDescent="0.2">
      <c r="A59" s="34" t="s">
        <v>60</v>
      </c>
      <c r="B59" s="34"/>
      <c r="C59" s="34"/>
      <c r="D59" s="34"/>
      <c r="E59" s="34"/>
      <c r="F59" s="34"/>
      <c r="G59" s="34"/>
      <c r="H59" s="34">
        <v>0</v>
      </c>
      <c r="I59" s="34">
        <v>0</v>
      </c>
    </row>
    <row r="60" spans="1:9" x14ac:dyDescent="0.2">
      <c r="A60" s="34" t="s">
        <v>61</v>
      </c>
      <c r="B60" s="34"/>
      <c r="C60" s="34"/>
      <c r="D60" s="34"/>
      <c r="E60" s="34"/>
      <c r="F60" s="34"/>
      <c r="G60" s="34"/>
      <c r="H60" s="34">
        <v>0</v>
      </c>
      <c r="I60" s="34">
        <v>0</v>
      </c>
    </row>
    <row r="61" spans="1:9" x14ac:dyDescent="0.2">
      <c r="A61" s="34" t="s">
        <v>62</v>
      </c>
      <c r="B61" s="34"/>
      <c r="C61" s="34"/>
      <c r="D61" s="34"/>
      <c r="E61" s="34"/>
      <c r="F61" s="34"/>
      <c r="G61" s="34"/>
      <c r="H61" s="34">
        <v>0</v>
      </c>
      <c r="I61" s="34">
        <v>8.6092501223201571E-307</v>
      </c>
    </row>
    <row r="62" spans="1:9" x14ac:dyDescent="0.2">
      <c r="A62" s="34" t="s">
        <v>63</v>
      </c>
      <c r="B62" s="34"/>
      <c r="C62" s="34"/>
      <c r="D62" s="34"/>
      <c r="E62" s="34"/>
      <c r="F62" s="34"/>
      <c r="G62" s="34"/>
      <c r="H62" s="34">
        <v>-1.8579075176708944E-306</v>
      </c>
      <c r="I62" s="34">
        <v>2.7035769762475174E-306</v>
      </c>
    </row>
    <row r="63" spans="1:9" x14ac:dyDescent="0.2">
      <c r="A63" s="34" t="s">
        <v>64</v>
      </c>
      <c r="B63" s="34"/>
      <c r="C63" s="34"/>
      <c r="D63" s="34"/>
      <c r="E63" s="34"/>
      <c r="F63" s="34"/>
      <c r="G63" s="34"/>
      <c r="H63" s="34">
        <v>1.3700384660718362E-294</v>
      </c>
      <c r="I63" s="34">
        <v>1.3700384660760009E-294</v>
      </c>
    </row>
    <row r="64" spans="1:9" x14ac:dyDescent="0.2">
      <c r="A64" s="34" t="s">
        <v>65</v>
      </c>
      <c r="B64" s="34"/>
      <c r="C64" s="34"/>
      <c r="D64" s="34"/>
      <c r="E64" s="34"/>
      <c r="F64" s="34"/>
      <c r="G64" s="34"/>
      <c r="H64" s="34">
        <v>1.3824620711968661E-294</v>
      </c>
      <c r="I64" s="34">
        <v>1.3824620712047992E-294</v>
      </c>
    </row>
    <row r="65" spans="1:10" x14ac:dyDescent="0.2">
      <c r="A65" s="34" t="s">
        <v>66</v>
      </c>
      <c r="B65" s="41">
        <v>5.6986576039350609</v>
      </c>
      <c r="C65" s="34">
        <v>4.8613174190997492</v>
      </c>
      <c r="D65" s="34">
        <v>1.1722455278368504</v>
      </c>
      <c r="E65" s="34">
        <v>0.2682681252419844</v>
      </c>
      <c r="F65" s="34">
        <v>-5.1330326093987324</v>
      </c>
      <c r="G65" s="34">
        <v>16.530347817268854</v>
      </c>
      <c r="H65" s="34">
        <v>-5.1330326093987324</v>
      </c>
      <c r="I65" s="34">
        <v>16.530347817268854</v>
      </c>
      <c r="J65" s="43" t="s">
        <v>71</v>
      </c>
    </row>
    <row r="66" spans="1:10" ht="13.5" thickBot="1" x14ac:dyDescent="0.25">
      <c r="A66" s="35" t="s">
        <v>67</v>
      </c>
      <c r="B66" s="42">
        <v>2.0690851731737744E-3</v>
      </c>
      <c r="C66" s="35">
        <v>2.3385965674693209E-4</v>
      </c>
      <c r="D66" s="35">
        <v>8.8475507146271308</v>
      </c>
      <c r="E66" s="35">
        <v>4.8238156502906205E-6</v>
      </c>
      <c r="F66" s="35">
        <v>1.5480133860637608E-3</v>
      </c>
      <c r="G66" s="35">
        <v>2.590156960283788E-3</v>
      </c>
      <c r="H66" s="35">
        <v>1.5480133860637608E-3</v>
      </c>
      <c r="I66" s="35">
        <v>2.590156960283788E-3</v>
      </c>
      <c r="J66" s="43" t="s">
        <v>72</v>
      </c>
    </row>
  </sheetData>
  <pageMargins left="0.7" right="0.7" top="0.75" bottom="0.75" header="0.3" footer="0.3"/>
  <pageSetup paperSize="9" scale="81" orientation="landscape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74"/>
  <sheetViews>
    <sheetView topLeftCell="A34" workbookViewId="0">
      <selection activeCell="B67" sqref="B67"/>
    </sheetView>
  </sheetViews>
  <sheetFormatPr defaultRowHeight="12.75" x14ac:dyDescent="0.2"/>
  <cols>
    <col min="1" max="1" width="21.42578125" bestFit="1" customWidth="1"/>
  </cols>
  <sheetData>
    <row r="1" spans="1:19" ht="165.75" x14ac:dyDescent="0.2">
      <c r="A1" s="40" t="s">
        <v>79</v>
      </c>
      <c r="B1" s="39" t="s">
        <v>80</v>
      </c>
      <c r="C1" s="39" t="s">
        <v>81</v>
      </c>
      <c r="D1" s="39" t="s">
        <v>82</v>
      </c>
      <c r="E1" s="39" t="s">
        <v>83</v>
      </c>
      <c r="F1" s="39" t="s">
        <v>84</v>
      </c>
      <c r="G1" s="39" t="s">
        <v>85</v>
      </c>
      <c r="H1" s="39" t="s">
        <v>86</v>
      </c>
      <c r="I1" s="39" t="s">
        <v>87</v>
      </c>
      <c r="J1" s="39" t="s">
        <v>88</v>
      </c>
      <c r="K1" s="39" t="s">
        <v>89</v>
      </c>
      <c r="L1" s="39" t="s">
        <v>90</v>
      </c>
      <c r="M1" s="39" t="s">
        <v>91</v>
      </c>
      <c r="N1" s="39" t="s">
        <v>92</v>
      </c>
      <c r="O1" s="39" t="s">
        <v>93</v>
      </c>
      <c r="P1" s="39" t="s">
        <v>94</v>
      </c>
      <c r="Q1" s="39" t="s">
        <v>95</v>
      </c>
      <c r="R1" s="39" t="s">
        <v>96</v>
      </c>
      <c r="S1" s="39" t="s">
        <v>70</v>
      </c>
    </row>
    <row r="2" spans="1:19" x14ac:dyDescent="0.2">
      <c r="A2" t="s">
        <v>34</v>
      </c>
      <c r="B2">
        <v>22290</v>
      </c>
      <c r="C2">
        <v>21000</v>
      </c>
      <c r="D2">
        <v>22390</v>
      </c>
      <c r="E2">
        <v>23750</v>
      </c>
      <c r="F2">
        <v>26350</v>
      </c>
      <c r="G2">
        <v>22490</v>
      </c>
      <c r="H2">
        <v>24190</v>
      </c>
      <c r="I2">
        <v>22600</v>
      </c>
      <c r="J2">
        <v>22230</v>
      </c>
      <c r="K2">
        <v>24250</v>
      </c>
      <c r="L2">
        <v>24390</v>
      </c>
      <c r="M2">
        <v>25340</v>
      </c>
      <c r="N2">
        <v>35690</v>
      </c>
      <c r="O2">
        <v>36900</v>
      </c>
      <c r="P2">
        <v>39900</v>
      </c>
      <c r="Q2">
        <v>38400</v>
      </c>
      <c r="R2">
        <v>43500</v>
      </c>
    </row>
    <row r="3" spans="1:19" x14ac:dyDescent="0.2">
      <c r="A3" t="s">
        <v>32</v>
      </c>
      <c r="B3" s="1">
        <v>14.81</v>
      </c>
      <c r="C3" s="1">
        <v>15.29</v>
      </c>
      <c r="D3" s="1">
        <v>14.87</v>
      </c>
      <c r="E3" s="1">
        <v>14.9</v>
      </c>
      <c r="F3" s="1">
        <v>12.2</v>
      </c>
      <c r="G3" s="1">
        <v>14.77</v>
      </c>
      <c r="H3" s="1">
        <v>13.84</v>
      </c>
      <c r="I3" s="1">
        <v>16.05</v>
      </c>
      <c r="J3" s="1">
        <v>15.41</v>
      </c>
      <c r="K3" s="1">
        <v>14.92</v>
      </c>
      <c r="L3" s="1">
        <v>14.52</v>
      </c>
      <c r="M3" s="1">
        <v>15.03</v>
      </c>
      <c r="N3" s="1">
        <v>13.25</v>
      </c>
      <c r="O3" s="1">
        <v>15.62</v>
      </c>
      <c r="P3" s="1">
        <v>15.95</v>
      </c>
      <c r="Q3" s="1">
        <v>19.95</v>
      </c>
      <c r="R3" s="1">
        <v>17.510000000000002</v>
      </c>
      <c r="S3" s="1">
        <f>AVERAGE(B3:R3)</f>
        <v>15.228823529411764</v>
      </c>
    </row>
    <row r="4" spans="1:19" x14ac:dyDescent="0.2">
      <c r="A4" t="s">
        <v>33</v>
      </c>
      <c r="B4" s="1">
        <v>18.07</v>
      </c>
      <c r="C4" s="1">
        <f>37.46</f>
        <v>37.46</v>
      </c>
      <c r="D4" s="1">
        <f>42.28</f>
        <v>42.28</v>
      </c>
      <c r="E4" s="1">
        <f>39.93</f>
        <v>39.93</v>
      </c>
      <c r="F4" s="1">
        <f>41.04</f>
        <v>41.04</v>
      </c>
      <c r="G4" s="1">
        <f>44.46</f>
        <v>44.46</v>
      </c>
      <c r="H4" s="1">
        <f>43.36</f>
        <v>43.36</v>
      </c>
      <c r="I4" s="1">
        <f>42.02</f>
        <v>42.02</v>
      </c>
      <c r="J4" s="1">
        <f>43.46</f>
        <v>43.46</v>
      </c>
      <c r="K4" s="1">
        <f>40.51</f>
        <v>40.51</v>
      </c>
      <c r="L4" s="1">
        <f>43.65</f>
        <v>43.65</v>
      </c>
      <c r="M4" s="1">
        <f>43.44</f>
        <v>43.44</v>
      </c>
      <c r="N4" s="1">
        <f>46.74</f>
        <v>46.74</v>
      </c>
      <c r="O4" s="1">
        <f>54.9</f>
        <v>54.9</v>
      </c>
      <c r="P4" s="1">
        <f>53.37</f>
        <v>53.37</v>
      </c>
      <c r="Q4" s="1">
        <f>49.95</f>
        <v>49.95</v>
      </c>
      <c r="R4" s="1">
        <f>51.43</f>
        <v>51.43</v>
      </c>
    </row>
    <row r="5" spans="1:19" x14ac:dyDescent="0.2">
      <c r="A5" s="40" t="s">
        <v>252</v>
      </c>
      <c r="B5">
        <f>52.72</f>
        <v>52.72</v>
      </c>
      <c r="C5">
        <v>51.29</v>
      </c>
      <c r="D5">
        <v>50.81</v>
      </c>
      <c r="E5">
        <v>53.89</v>
      </c>
      <c r="F5">
        <v>58.78</v>
      </c>
      <c r="G5">
        <v>51.9</v>
      </c>
      <c r="H5">
        <v>54.89</v>
      </c>
      <c r="I5">
        <v>51.28</v>
      </c>
      <c r="J5">
        <v>53.44</v>
      </c>
      <c r="K5">
        <v>58.29</v>
      </c>
      <c r="L5">
        <v>56.28</v>
      </c>
      <c r="M5">
        <v>57.5</v>
      </c>
      <c r="N5">
        <v>88.54</v>
      </c>
      <c r="O5">
        <v>79.48</v>
      </c>
      <c r="P5">
        <v>85.94</v>
      </c>
      <c r="Q5">
        <v>92.31</v>
      </c>
      <c r="R5">
        <v>97.04</v>
      </c>
    </row>
    <row r="6" spans="1:19" x14ac:dyDescent="0.2">
      <c r="A6" s="38"/>
    </row>
    <row r="8" spans="1:19" x14ac:dyDescent="0.2">
      <c r="A8" s="38" t="s">
        <v>68</v>
      </c>
    </row>
    <row r="9" spans="1:19" ht="13.5" thickBot="1" x14ac:dyDescent="0.25"/>
    <row r="10" spans="1:19" x14ac:dyDescent="0.2">
      <c r="A10" s="37" t="s">
        <v>35</v>
      </c>
      <c r="B10" s="37"/>
    </row>
    <row r="11" spans="1:19" x14ac:dyDescent="0.2">
      <c r="A11" s="34" t="s">
        <v>36</v>
      </c>
      <c r="B11" s="34">
        <v>0.88462089522856602</v>
      </c>
    </row>
    <row r="12" spans="1:19" x14ac:dyDescent="0.2">
      <c r="A12" s="34" t="s">
        <v>37</v>
      </c>
      <c r="B12" s="34">
        <v>0.7825541282749896</v>
      </c>
    </row>
    <row r="13" spans="1:19" x14ac:dyDescent="0.2">
      <c r="A13" s="34" t="s">
        <v>38</v>
      </c>
      <c r="B13" s="34">
        <v>-1.1428571428571428</v>
      </c>
    </row>
    <row r="14" spans="1:19" x14ac:dyDescent="0.2">
      <c r="A14" s="34" t="s">
        <v>39</v>
      </c>
      <c r="B14" s="34">
        <v>2.4325478974711254</v>
      </c>
    </row>
    <row r="15" spans="1:19" ht="13.5" thickBot="1" x14ac:dyDescent="0.25">
      <c r="A15" s="35" t="s">
        <v>40</v>
      </c>
      <c r="B15" s="35">
        <v>1</v>
      </c>
    </row>
    <row r="17" spans="1:9" ht="13.5" thickBot="1" x14ac:dyDescent="0.25">
      <c r="A17" t="s">
        <v>41</v>
      </c>
    </row>
    <row r="18" spans="1:9" x14ac:dyDescent="0.2">
      <c r="A18" s="36"/>
      <c r="B18" s="36" t="s">
        <v>44</v>
      </c>
      <c r="C18" s="36" t="s">
        <v>45</v>
      </c>
      <c r="D18" s="36" t="s">
        <v>46</v>
      </c>
      <c r="E18" s="36" t="s">
        <v>47</v>
      </c>
      <c r="F18" s="36" t="s">
        <v>48</v>
      </c>
    </row>
    <row r="19" spans="1:9" x14ac:dyDescent="0.2">
      <c r="A19" s="34" t="s">
        <v>42</v>
      </c>
      <c r="B19" s="34">
        <v>16</v>
      </c>
      <c r="C19" s="34">
        <v>298.13575017112328</v>
      </c>
      <c r="D19" s="34">
        <v>18.633484385695205</v>
      </c>
      <c r="E19" s="34">
        <v>50.383839016750251</v>
      </c>
      <c r="F19" s="34" t="e">
        <v>#NUM!</v>
      </c>
    </row>
    <row r="20" spans="1:9" x14ac:dyDescent="0.2">
      <c r="A20" s="34" t="s">
        <v>16</v>
      </c>
      <c r="B20" s="34">
        <v>14</v>
      </c>
      <c r="C20" s="34">
        <v>82.842049828876696</v>
      </c>
      <c r="D20" s="34">
        <v>5.9172892734911926</v>
      </c>
      <c r="E20" s="34"/>
      <c r="F20" s="34"/>
    </row>
    <row r="21" spans="1:9" ht="13.5" thickBot="1" x14ac:dyDescent="0.25">
      <c r="A21" s="35" t="s">
        <v>0</v>
      </c>
      <c r="B21" s="35">
        <v>30</v>
      </c>
      <c r="C21" s="35">
        <v>380.9778</v>
      </c>
      <c r="D21" s="35"/>
      <c r="E21" s="35"/>
      <c r="F21" s="35"/>
    </row>
    <row r="22" spans="1:9" ht="13.5" thickBot="1" x14ac:dyDescent="0.25"/>
    <row r="23" spans="1:9" x14ac:dyDescent="0.2">
      <c r="A23" s="36"/>
      <c r="B23" s="36" t="s">
        <v>49</v>
      </c>
      <c r="C23" s="36" t="s">
        <v>39</v>
      </c>
      <c r="D23" s="36" t="s">
        <v>50</v>
      </c>
      <c r="E23" s="36" t="s">
        <v>51</v>
      </c>
      <c r="F23" s="36" t="s">
        <v>52</v>
      </c>
      <c r="G23" s="36" t="s">
        <v>53</v>
      </c>
      <c r="H23" s="36" t="s">
        <v>54</v>
      </c>
      <c r="I23" s="36" t="s">
        <v>55</v>
      </c>
    </row>
    <row r="24" spans="1:9" x14ac:dyDescent="0.2">
      <c r="A24" s="34" t="s">
        <v>43</v>
      </c>
      <c r="B24" s="34"/>
      <c r="C24" s="34"/>
      <c r="D24" s="34"/>
      <c r="E24" s="34"/>
      <c r="F24" s="34"/>
      <c r="G24" s="34"/>
      <c r="H24" s="34">
        <v>-8.0417186145217485E-36</v>
      </c>
      <c r="I24" s="34">
        <v>8.0417186145217485E-36</v>
      </c>
    </row>
    <row r="25" spans="1:9" x14ac:dyDescent="0.2">
      <c r="A25" s="34" t="s">
        <v>56</v>
      </c>
      <c r="B25" s="34"/>
      <c r="C25" s="34"/>
      <c r="D25" s="34"/>
      <c r="E25" s="34"/>
      <c r="F25" s="34"/>
      <c r="G25" s="34"/>
      <c r="H25" s="34">
        <v>-1.1907379122765572E-35</v>
      </c>
      <c r="I25" s="34">
        <v>1.1907379122765572E-35</v>
      </c>
    </row>
    <row r="26" spans="1:9" x14ac:dyDescent="0.2">
      <c r="A26" s="34" t="s">
        <v>57</v>
      </c>
      <c r="B26" s="34"/>
      <c r="C26" s="34"/>
      <c r="D26" s="34"/>
      <c r="E26" s="34"/>
      <c r="F26" s="34"/>
      <c r="G26" s="34"/>
      <c r="H26" s="34">
        <v>-8.8711972648028645E-253</v>
      </c>
      <c r="I26" s="34">
        <v>8.8711972648028645E-253</v>
      </c>
    </row>
    <row r="27" spans="1:9" x14ac:dyDescent="0.2">
      <c r="A27" s="34" t="s">
        <v>58</v>
      </c>
      <c r="B27" s="34"/>
      <c r="C27" s="34"/>
      <c r="D27" s="34"/>
      <c r="E27" s="34"/>
      <c r="F27" s="34"/>
      <c r="G27" s="34"/>
      <c r="H27" s="34">
        <v>3.8711833939575068E-297</v>
      </c>
      <c r="I27" s="34">
        <v>3.8711833939575068E-297</v>
      </c>
    </row>
    <row r="28" spans="1:9" x14ac:dyDescent="0.2">
      <c r="A28" s="34" t="s">
        <v>59</v>
      </c>
      <c r="B28" s="34"/>
      <c r="C28" s="34"/>
      <c r="D28" s="34"/>
      <c r="E28" s="34"/>
      <c r="F28" s="34"/>
      <c r="G28" s="34"/>
      <c r="H28" s="34">
        <v>-4.3291946695934828E-297</v>
      </c>
      <c r="I28" s="34">
        <v>1.2071561449410597E-296</v>
      </c>
    </row>
    <row r="29" spans="1:9" x14ac:dyDescent="0.2">
      <c r="A29" s="34" t="s">
        <v>60</v>
      </c>
      <c r="B29" s="34"/>
      <c r="C29" s="34"/>
      <c r="D29" s="34"/>
      <c r="E29" s="34"/>
      <c r="F29" s="34"/>
      <c r="G29" s="34"/>
      <c r="H29" s="34">
        <v>9.3960452283612855E-296</v>
      </c>
      <c r="I29" s="34">
        <v>1.105661775033099E-295</v>
      </c>
    </row>
    <row r="30" spans="1:9" x14ac:dyDescent="0.2">
      <c r="A30" s="34" t="s">
        <v>61</v>
      </c>
      <c r="B30" s="34"/>
      <c r="C30" s="34"/>
      <c r="D30" s="34"/>
      <c r="E30" s="34"/>
      <c r="F30" s="34"/>
      <c r="G30" s="34"/>
      <c r="H30" s="34">
        <v>3.7494258332649329E-36</v>
      </c>
      <c r="I30" s="34">
        <v>3.7494258332649329E-36</v>
      </c>
    </row>
    <row r="31" spans="1:9" x14ac:dyDescent="0.2">
      <c r="A31" s="34" t="s">
        <v>62</v>
      </c>
      <c r="B31" s="34"/>
      <c r="C31" s="34"/>
      <c r="D31" s="34"/>
      <c r="E31" s="34"/>
      <c r="F31" s="34"/>
      <c r="G31" s="34"/>
      <c r="H31" s="34">
        <v>82.842049828876696</v>
      </c>
      <c r="I31" s="34">
        <v>82.842049828876696</v>
      </c>
    </row>
    <row r="32" spans="1:9" x14ac:dyDescent="0.2">
      <c r="A32" s="34" t="s">
        <v>63</v>
      </c>
      <c r="B32" s="34"/>
      <c r="C32" s="34"/>
      <c r="D32" s="34"/>
      <c r="E32" s="34"/>
      <c r="F32" s="34"/>
      <c r="G32" s="34"/>
      <c r="H32" s="34">
        <v>298.13575017112328</v>
      </c>
      <c r="I32" s="34">
        <v>298.13575017112328</v>
      </c>
    </row>
    <row r="33" spans="1:10" x14ac:dyDescent="0.2">
      <c r="A33" s="34" t="s">
        <v>64</v>
      </c>
      <c r="B33" s="34">
        <v>14</v>
      </c>
      <c r="C33" s="34">
        <v>82.842049828876696</v>
      </c>
      <c r="D33" s="34">
        <v>0.1689963011407758</v>
      </c>
      <c r="E33" s="34">
        <v>0.86821695605778726</v>
      </c>
      <c r="F33" s="34">
        <v>-163.67852567279817</v>
      </c>
      <c r="G33" s="34">
        <v>191.67852567279817</v>
      </c>
      <c r="H33" s="34">
        <v>-163.67852567279817</v>
      </c>
      <c r="I33" s="34">
        <v>191.67852567279817</v>
      </c>
    </row>
    <row r="34" spans="1:10" x14ac:dyDescent="0.2">
      <c r="A34" s="34" t="s">
        <v>65</v>
      </c>
      <c r="B34" s="34">
        <v>50.383839016750251</v>
      </c>
      <c r="C34" s="34">
        <v>298.13575017112328</v>
      </c>
      <c r="D34" s="34">
        <v>0.1689963011407758</v>
      </c>
      <c r="E34" s="34">
        <v>0.86821695605778726</v>
      </c>
      <c r="F34" s="34">
        <v>-589.05374914266326</v>
      </c>
      <c r="G34" s="34">
        <v>689.82142717616375</v>
      </c>
      <c r="H34" s="34">
        <v>-589.05374914266326</v>
      </c>
      <c r="I34" s="34">
        <v>689.82142717616375</v>
      </c>
    </row>
    <row r="35" spans="1:10" x14ac:dyDescent="0.2">
      <c r="A35" s="34" t="s">
        <v>66</v>
      </c>
      <c r="B35" s="34">
        <v>2.4325478974711254</v>
      </c>
      <c r="C35" s="34">
        <v>14</v>
      </c>
      <c r="D35" s="34">
        <v>0.17375342124793752</v>
      </c>
      <c r="E35" s="34">
        <v>0.86454659149043322</v>
      </c>
      <c r="F35" s="34">
        <v>-27.594465733378136</v>
      </c>
      <c r="G35" s="34">
        <v>32.459561528320386</v>
      </c>
      <c r="H35" s="34">
        <v>-27.594465733378136</v>
      </c>
      <c r="I35" s="34">
        <v>32.459561528320386</v>
      </c>
    </row>
    <row r="36" spans="1:10" x14ac:dyDescent="0.2">
      <c r="A36" s="34" t="s">
        <v>67</v>
      </c>
      <c r="B36" s="34">
        <v>0.7825541282749896</v>
      </c>
      <c r="C36" s="34">
        <v>50.383839016750251</v>
      </c>
      <c r="D36" s="34">
        <v>1.5531847980357893E-2</v>
      </c>
      <c r="E36" s="34">
        <v>0.98782705161152684</v>
      </c>
      <c r="F36" s="34">
        <v>-107.28003308104462</v>
      </c>
      <c r="G36" s="34">
        <v>108.84514133759461</v>
      </c>
      <c r="H36" s="34">
        <v>-107.28003308104462</v>
      </c>
      <c r="I36" s="34">
        <v>108.84514133759461</v>
      </c>
    </row>
    <row r="37" spans="1:10" x14ac:dyDescent="0.2">
      <c r="A37" s="34" t="s">
        <v>97</v>
      </c>
      <c r="B37" s="34">
        <v>2.4155874784811595</v>
      </c>
      <c r="C37" s="34">
        <v>2.4325478974711254</v>
      </c>
      <c r="D37" s="34">
        <v>0.99302771427127989</v>
      </c>
      <c r="E37" s="34">
        <v>0.33755048632885787</v>
      </c>
      <c r="F37" s="34">
        <v>-2.8017088697373542</v>
      </c>
      <c r="G37" s="34">
        <v>7.6328838266996737</v>
      </c>
      <c r="H37" s="34">
        <v>-2.8017088697373542</v>
      </c>
      <c r="I37" s="34">
        <v>7.6328838266996737</v>
      </c>
    </row>
    <row r="38" spans="1:10" x14ac:dyDescent="0.2">
      <c r="A38" s="34" t="s">
        <v>98</v>
      </c>
      <c r="B38" s="34">
        <v>8.2503337300149948E-5</v>
      </c>
      <c r="C38" s="34">
        <v>0.7825541282749896</v>
      </c>
      <c r="D38" s="34">
        <v>1.0542828197969492E-4</v>
      </c>
      <c r="E38" s="34">
        <v>0.99991736795777686</v>
      </c>
      <c r="F38" s="34">
        <v>-1.6783291735620194</v>
      </c>
      <c r="G38" s="34">
        <v>1.6784941802366198</v>
      </c>
      <c r="H38" s="34">
        <v>-1.6783291735620194</v>
      </c>
      <c r="I38" s="34">
        <v>1.6784941802366198</v>
      </c>
    </row>
    <row r="39" spans="1:10" x14ac:dyDescent="0.2">
      <c r="A39" s="34" t="s">
        <v>99</v>
      </c>
      <c r="B39" s="41">
        <v>28.281043759329442</v>
      </c>
      <c r="C39" s="34">
        <v>2.4155874784811595</v>
      </c>
      <c r="D39" s="34">
        <v>11.707729076784094</v>
      </c>
      <c r="E39" s="34">
        <v>1.2827450013692336E-8</v>
      </c>
      <c r="F39" s="34">
        <v>23.100123891982115</v>
      </c>
      <c r="G39" s="34">
        <v>33.46196362667677</v>
      </c>
      <c r="H39" s="34">
        <v>23.100123891982115</v>
      </c>
      <c r="I39" s="34">
        <v>33.46196362667677</v>
      </c>
      <c r="J39" s="43" t="s">
        <v>71</v>
      </c>
    </row>
    <row r="40" spans="1:10" ht="13.5" thickBot="1" x14ac:dyDescent="0.25">
      <c r="A40" s="35" t="s">
        <v>100</v>
      </c>
      <c r="B40" s="42">
        <v>5.8562167732917694E-4</v>
      </c>
      <c r="C40" s="35">
        <v>8.2503337300149948E-5</v>
      </c>
      <c r="D40" s="35">
        <v>7.0981574381490216</v>
      </c>
      <c r="E40" s="35">
        <v>5.3524475940595111E-6</v>
      </c>
      <c r="F40" s="35">
        <v>4.0866961777902288E-4</v>
      </c>
      <c r="G40" s="35">
        <v>7.62573736879331E-4</v>
      </c>
      <c r="H40" s="35">
        <v>4.0866961777902288E-4</v>
      </c>
      <c r="I40" s="35">
        <v>7.62573736879331E-4</v>
      </c>
      <c r="J40" s="43" t="s">
        <v>72</v>
      </c>
    </row>
    <row r="42" spans="1:10" x14ac:dyDescent="0.2">
      <c r="A42" s="38" t="s">
        <v>253</v>
      </c>
    </row>
    <row r="43" spans="1:10" ht="13.5" thickBot="1" x14ac:dyDescent="0.25"/>
    <row r="44" spans="1:10" x14ac:dyDescent="0.2">
      <c r="A44" s="37" t="s">
        <v>35</v>
      </c>
      <c r="B44" s="37"/>
    </row>
    <row r="45" spans="1:10" x14ac:dyDescent="0.2">
      <c r="A45" s="34" t="s">
        <v>36</v>
      </c>
      <c r="B45" s="34">
        <v>0.98299605643460464</v>
      </c>
    </row>
    <row r="46" spans="1:10" x14ac:dyDescent="0.2">
      <c r="A46" s="34" t="s">
        <v>37</v>
      </c>
      <c r="B46" s="34">
        <v>0.96628124696598439</v>
      </c>
    </row>
    <row r="47" spans="1:10" x14ac:dyDescent="0.2">
      <c r="A47" s="34" t="s">
        <v>38</v>
      </c>
      <c r="B47" s="34">
        <v>-1.1428571428571428</v>
      </c>
    </row>
    <row r="48" spans="1:10" x14ac:dyDescent="0.2">
      <c r="A48" s="34" t="s">
        <v>39</v>
      </c>
      <c r="B48" s="34">
        <v>3.2177578235044604</v>
      </c>
    </row>
    <row r="49" spans="1:9" ht="13.5" thickBot="1" x14ac:dyDescent="0.25">
      <c r="A49" s="35" t="s">
        <v>40</v>
      </c>
      <c r="B49" s="35">
        <v>1</v>
      </c>
    </row>
    <row r="51" spans="1:9" ht="13.5" thickBot="1" x14ac:dyDescent="0.25">
      <c r="A51" t="s">
        <v>41</v>
      </c>
    </row>
    <row r="52" spans="1:9" x14ac:dyDescent="0.2">
      <c r="A52" s="36"/>
      <c r="B52" s="36" t="s">
        <v>44</v>
      </c>
      <c r="C52" s="36" t="s">
        <v>45</v>
      </c>
      <c r="D52" s="36" t="s">
        <v>46</v>
      </c>
      <c r="E52" s="36" t="s">
        <v>47</v>
      </c>
      <c r="F52" s="36" t="s">
        <v>48</v>
      </c>
    </row>
    <row r="53" spans="1:9" x14ac:dyDescent="0.2">
      <c r="A53" s="34" t="s">
        <v>42</v>
      </c>
      <c r="B53" s="34">
        <v>16</v>
      </c>
      <c r="C53" s="34">
        <v>4154.0028592498629</v>
      </c>
      <c r="D53" s="34">
        <v>259.62517870311643</v>
      </c>
      <c r="E53" s="34">
        <v>401.1992212130956</v>
      </c>
      <c r="F53" s="34" t="e">
        <v>#NUM!</v>
      </c>
    </row>
    <row r="54" spans="1:9" x14ac:dyDescent="0.2">
      <c r="A54" s="34" t="s">
        <v>16</v>
      </c>
      <c r="B54" s="34">
        <v>14</v>
      </c>
      <c r="C54" s="34">
        <v>144.95551575013826</v>
      </c>
      <c r="D54" s="34">
        <v>10.353965410724161</v>
      </c>
      <c r="E54" s="34"/>
      <c r="F54" s="34"/>
    </row>
    <row r="55" spans="1:9" ht="13.5" thickBot="1" x14ac:dyDescent="0.25">
      <c r="A55" s="35" t="s">
        <v>0</v>
      </c>
      <c r="B55" s="35">
        <v>30</v>
      </c>
      <c r="C55" s="35">
        <v>4298.9583750000011</v>
      </c>
      <c r="D55" s="35"/>
      <c r="E55" s="35"/>
      <c r="F55" s="35"/>
    </row>
    <row r="56" spans="1:9" ht="13.5" thickBot="1" x14ac:dyDescent="0.25"/>
    <row r="57" spans="1:9" x14ac:dyDescent="0.2">
      <c r="A57" s="36"/>
      <c r="B57" s="36" t="s">
        <v>49</v>
      </c>
      <c r="C57" s="36" t="s">
        <v>39</v>
      </c>
      <c r="D57" s="36" t="s">
        <v>50</v>
      </c>
      <c r="E57" s="36" t="s">
        <v>51</v>
      </c>
      <c r="F57" s="36" t="s">
        <v>52</v>
      </c>
      <c r="G57" s="36" t="s">
        <v>53</v>
      </c>
      <c r="H57" s="36" t="s">
        <v>54</v>
      </c>
      <c r="I57" s="36" t="s">
        <v>55</v>
      </c>
    </row>
    <row r="58" spans="1:9" x14ac:dyDescent="0.2">
      <c r="A58" s="34" t="s">
        <v>43</v>
      </c>
      <c r="B58" s="34"/>
      <c r="C58" s="34"/>
      <c r="D58" s="34"/>
      <c r="E58" s="34"/>
      <c r="F58" s="34"/>
      <c r="G58" s="34"/>
      <c r="H58" s="34">
        <v>3.755355836476453E-308</v>
      </c>
      <c r="I58" s="34">
        <v>3.755355836476453E-308</v>
      </c>
    </row>
    <row r="59" spans="1:9" x14ac:dyDescent="0.2">
      <c r="A59" s="34" t="s">
        <v>56</v>
      </c>
      <c r="B59" s="34"/>
      <c r="C59" s="34"/>
      <c r="D59" s="34"/>
      <c r="E59" s="34"/>
      <c r="F59" s="34"/>
      <c r="G59" s="34"/>
      <c r="H59" s="34">
        <v>1.7802084776096765E-306</v>
      </c>
      <c r="I59" s="34">
        <v>1.7802084776096765E-306</v>
      </c>
    </row>
    <row r="60" spans="1:9" x14ac:dyDescent="0.2">
      <c r="A60" s="34" t="s">
        <v>57</v>
      </c>
      <c r="B60" s="34"/>
      <c r="C60" s="34"/>
      <c r="D60" s="34"/>
      <c r="E60" s="34"/>
      <c r="F60" s="34"/>
      <c r="G60" s="34"/>
      <c r="H60" s="34">
        <v>3.755355836476453E-308</v>
      </c>
      <c r="I60" s="34">
        <v>3.755355836476453E-308</v>
      </c>
    </row>
    <row r="61" spans="1:9" x14ac:dyDescent="0.2">
      <c r="A61" s="34" t="s">
        <v>58</v>
      </c>
      <c r="B61" s="34"/>
      <c r="C61" s="34"/>
      <c r="D61" s="34"/>
      <c r="E61" s="34"/>
      <c r="F61" s="34"/>
      <c r="G61" s="34"/>
      <c r="H61" s="34">
        <v>-3.8181674444956551E-306</v>
      </c>
      <c r="I61" s="34">
        <v>3.8181674444956551E-306</v>
      </c>
    </row>
    <row r="62" spans="1:9" x14ac:dyDescent="0.2">
      <c r="A62" s="34" t="s">
        <v>59</v>
      </c>
      <c r="B62" s="34"/>
      <c r="C62" s="34"/>
      <c r="D62" s="34"/>
      <c r="E62" s="34"/>
      <c r="F62" s="34"/>
      <c r="G62" s="34"/>
      <c r="H62" s="34">
        <v>4.0231185712771422E-36</v>
      </c>
      <c r="I62" s="34">
        <v>4.0231185712771422E-36</v>
      </c>
    </row>
    <row r="63" spans="1:9" x14ac:dyDescent="0.2">
      <c r="A63" s="34" t="s">
        <v>60</v>
      </c>
      <c r="B63" s="34"/>
      <c r="C63" s="34"/>
      <c r="D63" s="34"/>
      <c r="E63" s="34"/>
      <c r="F63" s="34"/>
      <c r="G63" s="34"/>
      <c r="H63" s="34">
        <v>-3.8181674444956551E-306</v>
      </c>
      <c r="I63" s="34">
        <v>3.8181674444956551E-306</v>
      </c>
    </row>
    <row r="64" spans="1:9" x14ac:dyDescent="0.2">
      <c r="A64" s="34" t="s">
        <v>61</v>
      </c>
      <c r="B64" s="34"/>
      <c r="C64" s="34"/>
      <c r="D64" s="34"/>
      <c r="E64" s="34"/>
      <c r="F64" s="34"/>
      <c r="G64" s="34"/>
      <c r="H64" s="34">
        <v>4.0231185700896863E-36</v>
      </c>
      <c r="I64" s="34">
        <v>4.0231185700896863E-36</v>
      </c>
    </row>
    <row r="65" spans="1:10" x14ac:dyDescent="0.2">
      <c r="A65" s="34" t="s">
        <v>62</v>
      </c>
      <c r="B65" s="34"/>
      <c r="C65" s="34"/>
      <c r="D65" s="34"/>
      <c r="E65" s="34"/>
      <c r="F65" s="34"/>
      <c r="G65" s="34"/>
      <c r="H65" s="34">
        <v>0</v>
      </c>
      <c r="I65" s="34">
        <v>0</v>
      </c>
    </row>
    <row r="66" spans="1:10" x14ac:dyDescent="0.2">
      <c r="A66" s="34" t="s">
        <v>63</v>
      </c>
      <c r="B66" s="34"/>
      <c r="C66" s="34"/>
      <c r="D66" s="34"/>
      <c r="E66" s="34"/>
      <c r="F66" s="34"/>
      <c r="G66" s="34"/>
      <c r="H66" s="34">
        <v>-4.6056125855004246E-36</v>
      </c>
      <c r="I66" s="34">
        <v>1.2651849725679797E-35</v>
      </c>
    </row>
    <row r="67" spans="1:10" x14ac:dyDescent="0.2">
      <c r="A67" s="34" t="s">
        <v>64</v>
      </c>
      <c r="B67" s="34"/>
      <c r="C67" s="34"/>
      <c r="D67" s="34"/>
      <c r="E67" s="34"/>
      <c r="F67" s="34"/>
      <c r="G67" s="34"/>
      <c r="H67" s="34">
        <v>0</v>
      </c>
      <c r="I67" s="34">
        <v>0</v>
      </c>
    </row>
    <row r="68" spans="1:10" x14ac:dyDescent="0.2">
      <c r="A68" s="34" t="s">
        <v>65</v>
      </c>
      <c r="B68" s="34"/>
      <c r="C68" s="34"/>
      <c r="D68" s="34"/>
      <c r="E68" s="34"/>
      <c r="F68" s="34"/>
      <c r="G68" s="34"/>
      <c r="H68" s="34">
        <v>-4.6056125817661286E-36</v>
      </c>
      <c r="I68" s="34">
        <v>1.2651849724320413E-35</v>
      </c>
    </row>
    <row r="69" spans="1:10" x14ac:dyDescent="0.2">
      <c r="A69" s="34" t="s">
        <v>66</v>
      </c>
      <c r="B69" s="34"/>
      <c r="C69" s="34"/>
      <c r="D69" s="34"/>
      <c r="E69" s="34"/>
      <c r="F69" s="34"/>
      <c r="G69" s="34"/>
      <c r="H69" s="34">
        <v>3.1953226965531631</v>
      </c>
      <c r="I69" s="34">
        <v>3.1953226965531631</v>
      </c>
    </row>
    <row r="70" spans="1:10" x14ac:dyDescent="0.2">
      <c r="A70" s="34" t="s">
        <v>67</v>
      </c>
      <c r="B70" s="34"/>
      <c r="C70" s="34"/>
      <c r="D70" s="34"/>
      <c r="E70" s="34"/>
      <c r="F70" s="34"/>
      <c r="G70" s="34"/>
      <c r="H70" s="34">
        <v>1.0913485376332085E-4</v>
      </c>
      <c r="I70" s="34">
        <v>1.0913485376332085E-4</v>
      </c>
    </row>
    <row r="71" spans="1:10" x14ac:dyDescent="0.2">
      <c r="A71" s="34" t="s">
        <v>97</v>
      </c>
      <c r="B71" s="34"/>
      <c r="C71" s="34"/>
      <c r="D71" s="34"/>
      <c r="E71" s="34"/>
      <c r="F71" s="34"/>
      <c r="G71" s="34"/>
      <c r="H71" s="34">
        <v>0</v>
      </c>
      <c r="I71" s="34">
        <v>0</v>
      </c>
    </row>
    <row r="72" spans="1:10" x14ac:dyDescent="0.2">
      <c r="A72" s="34" t="s">
        <v>98</v>
      </c>
      <c r="B72" s="34"/>
      <c r="C72" s="34"/>
      <c r="D72" s="34"/>
      <c r="E72" s="34"/>
      <c r="F72" s="34"/>
      <c r="G72" s="34"/>
      <c r="H72" s="34">
        <v>-4.6056125843129686E-36</v>
      </c>
      <c r="I72" s="34">
        <v>1.2651849726867253E-35</v>
      </c>
    </row>
    <row r="73" spans="1:10" x14ac:dyDescent="0.2">
      <c r="A73" s="34" t="s">
        <v>99</v>
      </c>
      <c r="B73" s="41">
        <v>3.1630216508760043</v>
      </c>
      <c r="C73" s="34">
        <v>3.1953226965531631</v>
      </c>
      <c r="D73" s="34">
        <v>0.98989114754763197</v>
      </c>
      <c r="E73" s="34">
        <v>0.33902829126232203</v>
      </c>
      <c r="F73" s="34">
        <v>-3.6902639322928419</v>
      </c>
      <c r="G73" s="34">
        <v>10.01630723404485</v>
      </c>
      <c r="H73" s="34">
        <v>-3.6902639322928419</v>
      </c>
      <c r="I73" s="34">
        <v>10.01630723404485</v>
      </c>
      <c r="J73" s="43" t="s">
        <v>71</v>
      </c>
    </row>
    <row r="74" spans="1:10" ht="13.5" thickBot="1" x14ac:dyDescent="0.25">
      <c r="A74" s="35" t="s">
        <v>100</v>
      </c>
      <c r="B74" s="42">
        <v>2.1859665473806908E-3</v>
      </c>
      <c r="C74" s="35">
        <v>1.0913485376332085E-4</v>
      </c>
      <c r="D74" s="35">
        <v>20.029958093143776</v>
      </c>
      <c r="E74" s="35">
        <v>1.053739746282177E-11</v>
      </c>
      <c r="F74" s="35">
        <v>1.951895565841264E-3</v>
      </c>
      <c r="G74" s="35">
        <v>2.4200375289201177E-3</v>
      </c>
      <c r="H74" s="35">
        <v>1.951895565841264E-3</v>
      </c>
      <c r="I74" s="35">
        <v>2.4200375289201177E-3</v>
      </c>
      <c r="J74" s="43" t="s">
        <v>72</v>
      </c>
    </row>
  </sheetData>
  <pageMargins left="0.7" right="0.7" top="0.75" bottom="0.75" header="0.3" footer="0.3"/>
  <pageSetup paperSize="9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70"/>
  <sheetViews>
    <sheetView workbookViewId="0">
      <selection activeCell="D60" sqref="D60"/>
    </sheetView>
  </sheetViews>
  <sheetFormatPr defaultRowHeight="12.75" x14ac:dyDescent="0.2"/>
  <cols>
    <col min="1" max="1" width="21.42578125" bestFit="1" customWidth="1"/>
  </cols>
  <sheetData>
    <row r="1" spans="1:16" ht="178.5" x14ac:dyDescent="0.2">
      <c r="A1" s="40" t="s">
        <v>101</v>
      </c>
      <c r="B1" s="39" t="s">
        <v>102</v>
      </c>
      <c r="C1" s="39" t="s">
        <v>103</v>
      </c>
      <c r="D1" s="39" t="s">
        <v>104</v>
      </c>
      <c r="E1" s="39" t="s">
        <v>105</v>
      </c>
      <c r="F1" s="39" t="s">
        <v>106</v>
      </c>
      <c r="G1" s="39" t="s">
        <v>107</v>
      </c>
      <c r="H1" s="39" t="s">
        <v>108</v>
      </c>
      <c r="I1" s="39" t="s">
        <v>109</v>
      </c>
      <c r="J1" s="39" t="s">
        <v>110</v>
      </c>
      <c r="K1" s="39" t="s">
        <v>111</v>
      </c>
      <c r="L1" s="39" t="s">
        <v>112</v>
      </c>
      <c r="M1" s="39" t="s">
        <v>113</v>
      </c>
      <c r="N1" s="39" t="s">
        <v>114</v>
      </c>
      <c r="O1" s="39" t="s">
        <v>115</v>
      </c>
      <c r="P1" s="39" t="s">
        <v>70</v>
      </c>
    </row>
    <row r="2" spans="1:16" x14ac:dyDescent="0.2">
      <c r="A2" t="s">
        <v>34</v>
      </c>
      <c r="B2">
        <v>26990</v>
      </c>
      <c r="C2">
        <v>32490</v>
      </c>
      <c r="D2">
        <v>30190</v>
      </c>
      <c r="E2">
        <v>30240</v>
      </c>
      <c r="F2">
        <v>33190</v>
      </c>
      <c r="G2">
        <v>33690</v>
      </c>
      <c r="H2">
        <v>30590</v>
      </c>
      <c r="I2">
        <v>33190</v>
      </c>
      <c r="J2">
        <v>34490</v>
      </c>
      <c r="K2">
        <v>37190</v>
      </c>
      <c r="L2">
        <v>35490</v>
      </c>
      <c r="M2">
        <v>54900</v>
      </c>
      <c r="N2">
        <v>55500</v>
      </c>
      <c r="O2">
        <v>61400</v>
      </c>
    </row>
    <row r="3" spans="1:16" x14ac:dyDescent="0.2">
      <c r="A3" t="s">
        <v>32</v>
      </c>
      <c r="B3" s="1">
        <v>13.81</v>
      </c>
      <c r="C3" s="1">
        <v>16.11</v>
      </c>
      <c r="D3" s="1">
        <v>15.55</v>
      </c>
      <c r="E3" s="1">
        <v>20.18</v>
      </c>
      <c r="F3" s="1">
        <v>12.56</v>
      </c>
      <c r="G3" s="1">
        <v>12.76</v>
      </c>
      <c r="H3" s="1">
        <v>16.97</v>
      </c>
      <c r="I3" s="1">
        <v>17.45</v>
      </c>
      <c r="J3" s="1">
        <v>17.260000000000002</v>
      </c>
      <c r="K3" s="1">
        <v>14.16</v>
      </c>
      <c r="L3" s="1">
        <v>17.59</v>
      </c>
      <c r="M3" s="1">
        <v>16.48</v>
      </c>
      <c r="N3" s="1">
        <v>17.45</v>
      </c>
      <c r="O3" s="1">
        <v>21.43</v>
      </c>
      <c r="P3" s="1">
        <f>AVERAGE(B3:O3)</f>
        <v>16.411428571428569</v>
      </c>
    </row>
    <row r="4" spans="1:16" x14ac:dyDescent="0.2">
      <c r="A4" t="s">
        <v>33</v>
      </c>
      <c r="B4" s="1">
        <f>40.56</f>
        <v>40.56</v>
      </c>
      <c r="C4" s="1">
        <f>45.2</f>
        <v>45.2</v>
      </c>
      <c r="D4" s="1">
        <f>45.91</f>
        <v>45.91</v>
      </c>
      <c r="E4" s="1">
        <f>42.69</f>
        <v>42.69</v>
      </c>
      <c r="F4" s="1">
        <f>45.29</f>
        <v>45.29</v>
      </c>
      <c r="G4" s="1">
        <f>43.5</f>
        <v>43.5</v>
      </c>
      <c r="H4" s="1">
        <f>43.58</f>
        <v>43.58</v>
      </c>
      <c r="I4" s="1">
        <f>44.44</f>
        <v>44.44</v>
      </c>
      <c r="J4" s="1">
        <f>43.92</f>
        <v>43.92</v>
      </c>
      <c r="K4" s="1">
        <f>46.16</f>
        <v>46.16</v>
      </c>
      <c r="L4" s="1">
        <f>47.28</f>
        <v>47.28</v>
      </c>
      <c r="M4" s="1">
        <f>61.64</f>
        <v>61.64</v>
      </c>
      <c r="N4" s="1">
        <f>64.65</f>
        <v>64.650000000000006</v>
      </c>
      <c r="O4" s="1">
        <f>57.54</f>
        <v>57.54</v>
      </c>
    </row>
    <row r="5" spans="1:16" x14ac:dyDescent="0.2">
      <c r="A5" s="40" t="s">
        <v>252</v>
      </c>
      <c r="B5">
        <v>74.739999999999995</v>
      </c>
      <c r="C5">
        <v>74.98</v>
      </c>
      <c r="D5">
        <v>79.540000000000006</v>
      </c>
      <c r="E5">
        <v>69.78</v>
      </c>
      <c r="F5">
        <v>87.44</v>
      </c>
      <c r="G5">
        <v>88.76</v>
      </c>
      <c r="H5">
        <v>80.59</v>
      </c>
      <c r="I5">
        <v>86.17</v>
      </c>
      <c r="J5">
        <v>89.54</v>
      </c>
      <c r="K5">
        <v>96.55</v>
      </c>
      <c r="L5">
        <v>92.14</v>
      </c>
      <c r="M5">
        <v>122.47</v>
      </c>
      <c r="N5">
        <v>123.81</v>
      </c>
      <c r="O5">
        <v>134.61000000000001</v>
      </c>
    </row>
    <row r="6" spans="1:16" x14ac:dyDescent="0.2">
      <c r="A6" s="38"/>
    </row>
    <row r="8" spans="1:16" x14ac:dyDescent="0.2">
      <c r="A8" s="38" t="s">
        <v>68</v>
      </c>
    </row>
    <row r="9" spans="1:16" ht="13.5" thickBot="1" x14ac:dyDescent="0.25"/>
    <row r="10" spans="1:16" x14ac:dyDescent="0.2">
      <c r="A10" s="37" t="s">
        <v>35</v>
      </c>
      <c r="B10" s="37"/>
    </row>
    <row r="11" spans="1:16" x14ac:dyDescent="0.2">
      <c r="A11" s="34" t="s">
        <v>36</v>
      </c>
      <c r="B11" s="34">
        <v>0.93958773426197728</v>
      </c>
    </row>
    <row r="12" spans="1:16" x14ac:dyDescent="0.2">
      <c r="A12" s="34" t="s">
        <v>37</v>
      </c>
      <c r="B12" s="34">
        <v>0.88282511037555611</v>
      </c>
    </row>
    <row r="13" spans="1:16" x14ac:dyDescent="0.2">
      <c r="A13" s="34" t="s">
        <v>38</v>
      </c>
      <c r="B13" s="34">
        <v>-1.1666666666666667</v>
      </c>
    </row>
    <row r="14" spans="1:16" x14ac:dyDescent="0.2">
      <c r="A14" s="34" t="s">
        <v>39</v>
      </c>
      <c r="B14" s="34">
        <v>2.6705646403186423</v>
      </c>
    </row>
    <row r="15" spans="1:16" ht="13.5" thickBot="1" x14ac:dyDescent="0.25">
      <c r="A15" s="35" t="s">
        <v>40</v>
      </c>
      <c r="B15" s="35">
        <v>1</v>
      </c>
    </row>
    <row r="17" spans="1:9" ht="13.5" thickBot="1" x14ac:dyDescent="0.25">
      <c r="A17" t="s">
        <v>41</v>
      </c>
    </row>
    <row r="18" spans="1:9" x14ac:dyDescent="0.2">
      <c r="A18" s="36"/>
      <c r="B18" s="36" t="s">
        <v>44</v>
      </c>
      <c r="C18" s="36" t="s">
        <v>45</v>
      </c>
      <c r="D18" s="36" t="s">
        <v>46</v>
      </c>
      <c r="E18" s="36" t="s">
        <v>47</v>
      </c>
      <c r="F18" s="36" t="s">
        <v>48</v>
      </c>
    </row>
    <row r="19" spans="1:9" x14ac:dyDescent="0.2">
      <c r="A19" s="34" t="s">
        <v>42</v>
      </c>
      <c r="B19" s="34">
        <v>14</v>
      </c>
      <c r="C19" s="34">
        <v>644.80375687970025</v>
      </c>
      <c r="D19" s="34">
        <v>46.057411205692873</v>
      </c>
      <c r="E19" s="34">
        <v>90.411020300177611</v>
      </c>
      <c r="F19" s="34" t="e">
        <v>#NUM!</v>
      </c>
    </row>
    <row r="20" spans="1:9" x14ac:dyDescent="0.2">
      <c r="A20" s="34" t="s">
        <v>16</v>
      </c>
      <c r="B20" s="34">
        <v>12</v>
      </c>
      <c r="C20" s="34">
        <v>85.58298597744286</v>
      </c>
      <c r="D20" s="34">
        <v>7.1319154981202386</v>
      </c>
      <c r="E20" s="34"/>
      <c r="F20" s="34"/>
    </row>
    <row r="21" spans="1:9" ht="13.5" thickBot="1" x14ac:dyDescent="0.25">
      <c r="A21" s="35" t="s">
        <v>0</v>
      </c>
      <c r="B21" s="35">
        <v>26</v>
      </c>
      <c r="C21" s="35">
        <v>730.38674285714308</v>
      </c>
      <c r="D21" s="35"/>
      <c r="E21" s="35"/>
      <c r="F21" s="35"/>
    </row>
    <row r="22" spans="1:9" ht="13.5" thickBot="1" x14ac:dyDescent="0.25"/>
    <row r="23" spans="1:9" x14ac:dyDescent="0.2">
      <c r="A23" s="36"/>
      <c r="B23" s="36" t="s">
        <v>49</v>
      </c>
      <c r="C23" s="36" t="s">
        <v>39</v>
      </c>
      <c r="D23" s="36" t="s">
        <v>50</v>
      </c>
      <c r="E23" s="36" t="s">
        <v>51</v>
      </c>
      <c r="F23" s="36" t="s">
        <v>52</v>
      </c>
      <c r="G23" s="36" t="s">
        <v>53</v>
      </c>
      <c r="H23" s="36" t="s">
        <v>54</v>
      </c>
      <c r="I23" s="36" t="s">
        <v>55</v>
      </c>
    </row>
    <row r="24" spans="1:9" x14ac:dyDescent="0.2">
      <c r="A24" s="34" t="s">
        <v>43</v>
      </c>
      <c r="B24" s="34"/>
      <c r="C24" s="34"/>
      <c r="D24" s="34"/>
      <c r="E24" s="34"/>
      <c r="F24" s="34"/>
      <c r="G24" s="34"/>
      <c r="H24" s="34">
        <v>0</v>
      </c>
      <c r="I24" s="34">
        <v>0</v>
      </c>
    </row>
    <row r="25" spans="1:9" x14ac:dyDescent="0.2">
      <c r="A25" s="34" t="s">
        <v>56</v>
      </c>
      <c r="B25" s="34"/>
      <c r="C25" s="34"/>
      <c r="D25" s="34"/>
      <c r="E25" s="34"/>
      <c r="F25" s="34"/>
      <c r="G25" s="34"/>
      <c r="H25" s="34">
        <v>0</v>
      </c>
      <c r="I25" s="34">
        <v>0</v>
      </c>
    </row>
    <row r="26" spans="1:9" x14ac:dyDescent="0.2">
      <c r="A26" s="34" t="s">
        <v>57</v>
      </c>
      <c r="B26" s="34"/>
      <c r="C26" s="34"/>
      <c r="D26" s="34"/>
      <c r="E26" s="34"/>
      <c r="F26" s="34"/>
      <c r="G26" s="34"/>
      <c r="H26" s="34">
        <v>0</v>
      </c>
      <c r="I26" s="34">
        <v>0</v>
      </c>
    </row>
    <row r="27" spans="1:9" x14ac:dyDescent="0.2">
      <c r="A27" s="34" t="s">
        <v>58</v>
      </c>
      <c r="B27" s="34"/>
      <c r="C27" s="34"/>
      <c r="D27" s="34"/>
      <c r="E27" s="34"/>
      <c r="F27" s="34"/>
      <c r="G27" s="34"/>
      <c r="H27" s="34">
        <v>0</v>
      </c>
      <c r="I27" s="34">
        <v>0</v>
      </c>
    </row>
    <row r="28" spans="1:9" x14ac:dyDescent="0.2">
      <c r="A28" s="34" t="s">
        <v>59</v>
      </c>
      <c r="B28" s="34"/>
      <c r="C28" s="34"/>
      <c r="D28" s="34"/>
      <c r="E28" s="34"/>
      <c r="F28" s="34"/>
      <c r="G28" s="34"/>
      <c r="H28" s="34">
        <v>0</v>
      </c>
      <c r="I28" s="34">
        <v>0</v>
      </c>
    </row>
    <row r="29" spans="1:9" x14ac:dyDescent="0.2">
      <c r="A29" s="34" t="s">
        <v>60</v>
      </c>
      <c r="B29" s="34"/>
      <c r="C29" s="34"/>
      <c r="D29" s="34"/>
      <c r="E29" s="34"/>
      <c r="F29" s="34"/>
      <c r="G29" s="34"/>
      <c r="H29" s="34">
        <v>85.58298597744286</v>
      </c>
      <c r="I29" s="34">
        <v>85.58298597744286</v>
      </c>
    </row>
    <row r="30" spans="1:9" x14ac:dyDescent="0.2">
      <c r="A30" s="34" t="s">
        <v>61</v>
      </c>
      <c r="B30" s="34"/>
      <c r="C30" s="34"/>
      <c r="D30" s="34"/>
      <c r="E30" s="34"/>
      <c r="F30" s="34"/>
      <c r="G30" s="34"/>
      <c r="H30" s="34">
        <v>644.80375687970025</v>
      </c>
      <c r="I30" s="34">
        <v>644.80375687970025</v>
      </c>
    </row>
    <row r="31" spans="1:9" x14ac:dyDescent="0.2">
      <c r="A31" s="34" t="s">
        <v>62</v>
      </c>
      <c r="B31" s="34">
        <v>12</v>
      </c>
      <c r="C31" s="34">
        <v>85.58298597744286</v>
      </c>
      <c r="D31" s="34">
        <v>0.1402147852513915</v>
      </c>
      <c r="E31" s="34">
        <v>0.89081631203621836</v>
      </c>
      <c r="F31" s="34">
        <v>-174.46930784888301</v>
      </c>
      <c r="G31" s="34">
        <v>198.46930784888301</v>
      </c>
      <c r="H31" s="34">
        <v>-174.46930784888301</v>
      </c>
      <c r="I31" s="34">
        <v>198.46930784888301</v>
      </c>
    </row>
    <row r="32" spans="1:9" x14ac:dyDescent="0.2">
      <c r="A32" s="34" t="s">
        <v>63</v>
      </c>
      <c r="B32" s="34">
        <v>90.411020300177611</v>
      </c>
      <c r="C32" s="34">
        <v>644.80375687970025</v>
      </c>
      <c r="D32" s="34">
        <v>0.14021478525139147</v>
      </c>
      <c r="E32" s="34">
        <v>0.89081631203621836</v>
      </c>
      <c r="F32" s="34">
        <v>-1314.4956778069418</v>
      </c>
      <c r="G32" s="34">
        <v>1495.317718407297</v>
      </c>
      <c r="H32" s="34">
        <v>-1314.4956778069418</v>
      </c>
      <c r="I32" s="34">
        <v>1495.317718407297</v>
      </c>
    </row>
    <row r="33" spans="1:10" x14ac:dyDescent="0.2">
      <c r="A33" s="34" t="s">
        <v>64</v>
      </c>
      <c r="B33" s="34">
        <v>2.6705646403186423</v>
      </c>
      <c r="C33" s="34">
        <v>12</v>
      </c>
      <c r="D33" s="34">
        <v>0.22254705335988686</v>
      </c>
      <c r="E33" s="34">
        <v>0.82763087624839071</v>
      </c>
      <c r="F33" s="34">
        <v>-23.475189315688102</v>
      </c>
      <c r="G33" s="34">
        <v>28.816318596325385</v>
      </c>
      <c r="H33" s="34">
        <v>-23.475189315688102</v>
      </c>
      <c r="I33" s="34">
        <v>28.816318596325385</v>
      </c>
    </row>
    <row r="34" spans="1:10" x14ac:dyDescent="0.2">
      <c r="A34" s="34" t="s">
        <v>65</v>
      </c>
      <c r="B34" s="34">
        <v>0.88282511037555611</v>
      </c>
      <c r="C34" s="34">
        <v>90.411020300177611</v>
      </c>
      <c r="D34" s="34">
        <v>9.7645741353703294E-3</v>
      </c>
      <c r="E34" s="34">
        <v>0.99236957941278225</v>
      </c>
      <c r="F34" s="34">
        <v>-196.10586586295565</v>
      </c>
      <c r="G34" s="34">
        <v>197.87151608370678</v>
      </c>
      <c r="H34" s="34">
        <v>-196.10586586295565</v>
      </c>
      <c r="I34" s="34">
        <v>197.87151608370678</v>
      </c>
    </row>
    <row r="35" spans="1:10" x14ac:dyDescent="0.2">
      <c r="A35" s="34" t="s">
        <v>66</v>
      </c>
      <c r="B35" s="34">
        <v>2.6624887177794792</v>
      </c>
      <c r="C35" s="34">
        <v>2.6705646403186423</v>
      </c>
      <c r="D35" s="34">
        <v>0.99697594942386436</v>
      </c>
      <c r="E35" s="34">
        <v>0.33845573459194778</v>
      </c>
      <c r="F35" s="34">
        <v>-3.1561717830024261</v>
      </c>
      <c r="G35" s="34">
        <v>8.4811492185613844</v>
      </c>
      <c r="H35" s="34">
        <v>-3.1561717830024261</v>
      </c>
      <c r="I35" s="34">
        <v>8.4811492185613844</v>
      </c>
    </row>
    <row r="36" spans="1:10" x14ac:dyDescent="0.2">
      <c r="A36" s="34" t="s">
        <v>67</v>
      </c>
      <c r="B36" s="34">
        <v>6.7814597734696603E-5</v>
      </c>
      <c r="C36" s="34">
        <v>0.88282511037555611</v>
      </c>
      <c r="D36" s="34">
        <v>7.6815438230849709E-5</v>
      </c>
      <c r="E36" s="34">
        <v>0.99993997237533594</v>
      </c>
      <c r="F36" s="34">
        <v>-1.9234428622409141</v>
      </c>
      <c r="G36" s="34">
        <v>1.9235784914363834</v>
      </c>
      <c r="H36" s="34">
        <v>-1.9234428622409141</v>
      </c>
      <c r="I36" s="34">
        <v>1.9235784914363834</v>
      </c>
    </row>
    <row r="37" spans="1:10" x14ac:dyDescent="0.2">
      <c r="A37" s="34" t="s">
        <v>97</v>
      </c>
      <c r="B37" s="41">
        <v>23.636118061438015</v>
      </c>
      <c r="C37" s="34">
        <v>2.6624887177794792</v>
      </c>
      <c r="D37" s="34">
        <v>8.8774528521385001</v>
      </c>
      <c r="E37" s="34">
        <v>1.2757902066259501E-6</v>
      </c>
      <c r="F37" s="34">
        <v>17.835053484295837</v>
      </c>
      <c r="G37" s="34">
        <v>29.437182638580193</v>
      </c>
      <c r="H37" s="34">
        <v>17.835053484295837</v>
      </c>
      <c r="I37" s="34">
        <v>29.437182638580193</v>
      </c>
      <c r="J37" s="43" t="s">
        <v>71</v>
      </c>
    </row>
    <row r="38" spans="1:10" ht="13.5" thickBot="1" x14ac:dyDescent="0.25">
      <c r="A38" s="35" t="s">
        <v>98</v>
      </c>
      <c r="B38" s="42">
        <v>6.4481313430499621E-4</v>
      </c>
      <c r="C38" s="35">
        <v>6.7814597734696603E-5</v>
      </c>
      <c r="D38" s="35">
        <v>9.5084709759339106</v>
      </c>
      <c r="E38" s="35">
        <v>6.1566549758237547E-7</v>
      </c>
      <c r="F38" s="35">
        <v>4.9705781872191705E-4</v>
      </c>
      <c r="G38" s="35">
        <v>7.9256844988807537E-4</v>
      </c>
      <c r="H38" s="35">
        <v>4.9705781872191705E-4</v>
      </c>
      <c r="I38" s="35">
        <v>7.9256844988807537E-4</v>
      </c>
      <c r="J38" s="43" t="s">
        <v>72</v>
      </c>
    </row>
    <row r="40" spans="1:10" x14ac:dyDescent="0.2">
      <c r="A40" s="38" t="s">
        <v>253</v>
      </c>
    </row>
    <row r="41" spans="1:10" ht="13.5" thickBot="1" x14ac:dyDescent="0.25"/>
    <row r="42" spans="1:10" x14ac:dyDescent="0.2">
      <c r="A42" s="37" t="s">
        <v>35</v>
      </c>
      <c r="B42" s="37"/>
    </row>
    <row r="43" spans="1:10" x14ac:dyDescent="0.2">
      <c r="A43" s="34" t="s">
        <v>36</v>
      </c>
      <c r="B43" s="34">
        <v>0.97789579765835632</v>
      </c>
    </row>
    <row r="44" spans="1:10" x14ac:dyDescent="0.2">
      <c r="A44" s="34" t="s">
        <v>37</v>
      </c>
      <c r="B44" s="34">
        <v>0.95628019107787299</v>
      </c>
    </row>
    <row r="45" spans="1:10" x14ac:dyDescent="0.2">
      <c r="A45" s="34" t="s">
        <v>38</v>
      </c>
      <c r="B45" s="34">
        <v>-1.1666666666666667</v>
      </c>
    </row>
    <row r="46" spans="1:10" x14ac:dyDescent="0.2">
      <c r="A46" s="34" t="s">
        <v>39</v>
      </c>
      <c r="B46" s="34">
        <v>4.353628462476026</v>
      </c>
    </row>
    <row r="47" spans="1:10" ht="13.5" thickBot="1" x14ac:dyDescent="0.25">
      <c r="A47" s="35" t="s">
        <v>40</v>
      </c>
      <c r="B47" s="35">
        <v>1</v>
      </c>
    </row>
    <row r="49" spans="1:9" ht="13.5" thickBot="1" x14ac:dyDescent="0.25">
      <c r="A49" t="s">
        <v>41</v>
      </c>
    </row>
    <row r="50" spans="1:9" x14ac:dyDescent="0.2">
      <c r="A50" s="36"/>
      <c r="B50" s="36" t="s">
        <v>44</v>
      </c>
      <c r="C50" s="36" t="s">
        <v>45</v>
      </c>
      <c r="D50" s="36" t="s">
        <v>46</v>
      </c>
      <c r="E50" s="36" t="s">
        <v>47</v>
      </c>
      <c r="F50" s="36" t="s">
        <v>48</v>
      </c>
    </row>
    <row r="51" spans="1:9" x14ac:dyDescent="0.2">
      <c r="A51" s="34" t="s">
        <v>42</v>
      </c>
      <c r="B51" s="34">
        <v>14</v>
      </c>
      <c r="C51" s="34">
        <v>4974.9747162429094</v>
      </c>
      <c r="D51" s="34">
        <v>355.3553368744935</v>
      </c>
      <c r="E51" s="34">
        <v>262.47512456822932</v>
      </c>
      <c r="F51" s="34" t="e">
        <v>#NUM!</v>
      </c>
    </row>
    <row r="52" spans="1:9" x14ac:dyDescent="0.2">
      <c r="A52" s="34" t="s">
        <v>16</v>
      </c>
      <c r="B52" s="34">
        <v>12</v>
      </c>
      <c r="C52" s="34">
        <v>227.44896947137642</v>
      </c>
      <c r="D52" s="34">
        <v>18.954080789281367</v>
      </c>
      <c r="E52" s="34"/>
      <c r="F52" s="34"/>
    </row>
    <row r="53" spans="1:9" ht="13.5" thickBot="1" x14ac:dyDescent="0.25">
      <c r="A53" s="35" t="s">
        <v>0</v>
      </c>
      <c r="B53" s="35">
        <v>26</v>
      </c>
      <c r="C53" s="35">
        <v>5202.423685714286</v>
      </c>
      <c r="D53" s="35"/>
      <c r="E53" s="35"/>
      <c r="F53" s="35"/>
    </row>
    <row r="54" spans="1:9" ht="13.5" thickBot="1" x14ac:dyDescent="0.25"/>
    <row r="55" spans="1:9" x14ac:dyDescent="0.2">
      <c r="A55" s="36"/>
      <c r="B55" s="36" t="s">
        <v>49</v>
      </c>
      <c r="C55" s="36" t="s">
        <v>39</v>
      </c>
      <c r="D55" s="36" t="s">
        <v>50</v>
      </c>
      <c r="E55" s="36" t="s">
        <v>51</v>
      </c>
      <c r="F55" s="36" t="s">
        <v>52</v>
      </c>
      <c r="G55" s="36" t="s">
        <v>53</v>
      </c>
      <c r="H55" s="36" t="s">
        <v>54</v>
      </c>
      <c r="I55" s="36" t="s">
        <v>55</v>
      </c>
    </row>
    <row r="56" spans="1:9" x14ac:dyDescent="0.2">
      <c r="A56" s="34" t="s">
        <v>43</v>
      </c>
      <c r="B56" s="34"/>
      <c r="C56" s="34"/>
      <c r="D56" s="34"/>
      <c r="E56" s="34"/>
      <c r="F56" s="34"/>
      <c r="G56" s="34"/>
      <c r="H56" s="34">
        <v>-4.7425037845067409E-36</v>
      </c>
      <c r="I56" s="34">
        <v>1.2788740927061025E-35</v>
      </c>
    </row>
    <row r="57" spans="1:9" x14ac:dyDescent="0.2">
      <c r="A57" s="34" t="s">
        <v>56</v>
      </c>
      <c r="B57" s="34"/>
      <c r="C57" s="34"/>
      <c r="D57" s="34"/>
      <c r="E57" s="34"/>
      <c r="F57" s="34"/>
      <c r="G57" s="34"/>
      <c r="H57" s="34">
        <v>65535</v>
      </c>
      <c r="I57" s="34">
        <v>65535</v>
      </c>
    </row>
    <row r="58" spans="1:9" x14ac:dyDescent="0.2">
      <c r="A58" s="34" t="s">
        <v>57</v>
      </c>
      <c r="B58" s="34"/>
      <c r="C58" s="34"/>
      <c r="D58" s="34"/>
      <c r="E58" s="34"/>
      <c r="F58" s="34"/>
      <c r="G58" s="34"/>
      <c r="H58" s="34">
        <v>-8.7656223583711274E-36</v>
      </c>
      <c r="I58" s="34">
        <v>8.7656223583711274E-36</v>
      </c>
    </row>
    <row r="59" spans="1:9" x14ac:dyDescent="0.2">
      <c r="A59" s="34" t="s">
        <v>58</v>
      </c>
      <c r="B59" s="34"/>
      <c r="C59" s="34"/>
      <c r="D59" s="34"/>
      <c r="E59" s="34"/>
      <c r="F59" s="34"/>
      <c r="G59" s="34"/>
      <c r="H59" s="34">
        <v>65535</v>
      </c>
      <c r="I59" s="34">
        <v>65535</v>
      </c>
    </row>
    <row r="60" spans="1:9" x14ac:dyDescent="0.2">
      <c r="A60" s="34" t="s">
        <v>59</v>
      </c>
      <c r="B60" s="34"/>
      <c r="C60" s="34"/>
      <c r="D60" s="34"/>
      <c r="E60" s="34"/>
      <c r="F60" s="34"/>
      <c r="G60" s="34"/>
      <c r="H60" s="34">
        <v>0</v>
      </c>
      <c r="I60" s="34">
        <v>0</v>
      </c>
    </row>
    <row r="61" spans="1:9" x14ac:dyDescent="0.2">
      <c r="A61" s="34" t="s">
        <v>60</v>
      </c>
      <c r="B61" s="34"/>
      <c r="C61" s="34"/>
      <c r="D61" s="34"/>
      <c r="E61" s="34"/>
      <c r="F61" s="34"/>
      <c r="G61" s="34"/>
      <c r="H61" s="34">
        <v>65535</v>
      </c>
      <c r="I61" s="34">
        <v>65535</v>
      </c>
    </row>
    <row r="62" spans="1:9" x14ac:dyDescent="0.2">
      <c r="A62" s="34" t="s">
        <v>61</v>
      </c>
      <c r="B62" s="34"/>
      <c r="C62" s="34"/>
      <c r="D62" s="34"/>
      <c r="E62" s="34"/>
      <c r="F62" s="34"/>
      <c r="G62" s="34"/>
      <c r="H62" s="34">
        <v>4974.9747162429094</v>
      </c>
      <c r="I62" s="34">
        <v>4974.9747162429094</v>
      </c>
    </row>
    <row r="63" spans="1:9" x14ac:dyDescent="0.2">
      <c r="A63" s="34" t="s">
        <v>62</v>
      </c>
      <c r="B63" s="34">
        <v>12</v>
      </c>
      <c r="C63" s="34">
        <v>227.44896947137642</v>
      </c>
      <c r="D63" s="34">
        <v>5.2759087138929218E-2</v>
      </c>
      <c r="E63" s="34">
        <v>0.95879198356403195</v>
      </c>
      <c r="F63" s="34">
        <v>-483.56873277882471</v>
      </c>
      <c r="G63" s="34">
        <v>507.56873277882471</v>
      </c>
      <c r="H63" s="34">
        <v>-483.56873277882471</v>
      </c>
      <c r="I63" s="34">
        <v>507.56873277882471</v>
      </c>
    </row>
    <row r="64" spans="1:9" x14ac:dyDescent="0.2">
      <c r="A64" s="34" t="s">
        <v>63</v>
      </c>
      <c r="B64" s="34">
        <v>262.47512456822932</v>
      </c>
      <c r="C64" s="34">
        <v>4974.9747162429094</v>
      </c>
      <c r="D64" s="34">
        <v>5.2759087138929218E-2</v>
      </c>
      <c r="E64" s="34">
        <v>0.95879198356403195</v>
      </c>
      <c r="F64" s="34">
        <v>-10577.063614451901</v>
      </c>
      <c r="G64" s="34">
        <v>11102.01386358836</v>
      </c>
      <c r="H64" s="34">
        <v>-10577.063614451901</v>
      </c>
      <c r="I64" s="34">
        <v>11102.01386358836</v>
      </c>
    </row>
    <row r="65" spans="1:10" x14ac:dyDescent="0.2">
      <c r="A65" s="34" t="s">
        <v>64</v>
      </c>
      <c r="B65" s="34">
        <v>4.353628462476026</v>
      </c>
      <c r="C65" s="34">
        <v>12</v>
      </c>
      <c r="D65" s="34">
        <v>0.36280237187300218</v>
      </c>
      <c r="E65" s="34">
        <v>0.7230623567799408</v>
      </c>
      <c r="F65" s="34">
        <v>-21.792125493530719</v>
      </c>
      <c r="G65" s="34">
        <v>30.499382418482767</v>
      </c>
      <c r="H65" s="34">
        <v>-21.792125493530719</v>
      </c>
      <c r="I65" s="34">
        <v>30.499382418482767</v>
      </c>
    </row>
    <row r="66" spans="1:10" x14ac:dyDescent="0.2">
      <c r="A66" s="34" t="s">
        <v>65</v>
      </c>
      <c r="B66" s="34">
        <v>0.95628019107787299</v>
      </c>
      <c r="C66" s="34">
        <v>262.47512456822932</v>
      </c>
      <c r="D66" s="34">
        <v>3.6433174101772525E-3</v>
      </c>
      <c r="E66" s="34">
        <v>0.99715292692257429</v>
      </c>
      <c r="F66" s="34">
        <v>-570.92788868668413</v>
      </c>
      <c r="G66" s="34">
        <v>572.84044906883992</v>
      </c>
      <c r="H66" s="34">
        <v>-570.92788868668413</v>
      </c>
      <c r="I66" s="34">
        <v>572.84044906883992</v>
      </c>
    </row>
    <row r="67" spans="1:10" x14ac:dyDescent="0.2">
      <c r="A67" s="34" t="s">
        <v>66</v>
      </c>
      <c r="B67" s="34">
        <v>4.340462869815795</v>
      </c>
      <c r="C67" s="34">
        <v>4.353628462476026</v>
      </c>
      <c r="D67" s="34">
        <v>0.99697594942386436</v>
      </c>
      <c r="E67" s="34">
        <v>0.33845573459194778</v>
      </c>
      <c r="F67" s="34">
        <v>-5.1452786798313799</v>
      </c>
      <c r="G67" s="34">
        <v>13.82620441946297</v>
      </c>
      <c r="H67" s="34">
        <v>-5.1452786798313799</v>
      </c>
      <c r="I67" s="34">
        <v>13.82620441946297</v>
      </c>
    </row>
    <row r="68" spans="1:10" x14ac:dyDescent="0.2">
      <c r="A68" s="34" t="s">
        <v>67</v>
      </c>
      <c r="B68" s="34">
        <v>1.105532359755615E-4</v>
      </c>
      <c r="C68" s="34">
        <v>0.95628019107787299</v>
      </c>
      <c r="D68" s="34">
        <v>1.156075771588986E-4</v>
      </c>
      <c r="E68" s="34">
        <v>0.99990965815725985</v>
      </c>
      <c r="F68" s="34">
        <v>-2.083444995841123</v>
      </c>
      <c r="G68" s="34">
        <v>2.083666102313074</v>
      </c>
      <c r="H68" s="34">
        <v>-2.083444995841123</v>
      </c>
      <c r="I68" s="34">
        <v>2.083666102313074</v>
      </c>
    </row>
    <row r="69" spans="1:10" x14ac:dyDescent="0.2">
      <c r="A69" s="34" t="s">
        <v>97</v>
      </c>
      <c r="B69" s="41">
        <v>25.190735390689269</v>
      </c>
      <c r="C69" s="34">
        <v>4.340462869815795</v>
      </c>
      <c r="D69" s="34">
        <v>5.8036979341234041</v>
      </c>
      <c r="E69" s="34">
        <v>8.4245069344105671E-5</v>
      </c>
      <c r="F69" s="34">
        <v>15.733679203240378</v>
      </c>
      <c r="G69" s="34">
        <v>34.647791578138161</v>
      </c>
      <c r="H69" s="34">
        <v>15.733679203240378</v>
      </c>
      <c r="I69" s="34">
        <v>34.647791578138161</v>
      </c>
      <c r="J69" s="43" t="s">
        <v>71</v>
      </c>
    </row>
    <row r="70" spans="1:10" ht="13.5" thickBot="1" x14ac:dyDescent="0.25">
      <c r="A70" s="35" t="s">
        <v>98</v>
      </c>
      <c r="B70" s="42">
        <v>1.7910822686300375E-3</v>
      </c>
      <c r="C70" s="35">
        <v>1.105532359755615E-4</v>
      </c>
      <c r="D70" s="35">
        <v>16.201084055341155</v>
      </c>
      <c r="E70" s="35">
        <v>1.6057593506506307E-9</v>
      </c>
      <c r="F70" s="35">
        <v>1.5502074597252555E-3</v>
      </c>
      <c r="G70" s="35">
        <v>2.0319570775348197E-3</v>
      </c>
      <c r="H70" s="35">
        <v>1.5502074597252555E-3</v>
      </c>
      <c r="I70" s="35">
        <v>2.0319570775348197E-3</v>
      </c>
      <c r="J70" s="43" t="s">
        <v>72</v>
      </c>
    </row>
  </sheetData>
  <pageMargins left="0.7" right="0.7" top="0.75" bottom="0.75" header="0.3" footer="0.3"/>
  <pageSetup paperSize="9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4"/>
  <sheetViews>
    <sheetView workbookViewId="0">
      <selection activeCell="B50" sqref="B50"/>
    </sheetView>
  </sheetViews>
  <sheetFormatPr defaultRowHeight="12.75" x14ac:dyDescent="0.2"/>
  <cols>
    <col min="1" max="1" width="40.28515625" bestFit="1" customWidth="1"/>
  </cols>
  <sheetData>
    <row r="1" spans="1:8" ht="165.75" x14ac:dyDescent="0.2">
      <c r="A1" s="40" t="s">
        <v>116</v>
      </c>
      <c r="B1" s="39" t="s">
        <v>117</v>
      </c>
      <c r="C1" s="39" t="s">
        <v>118</v>
      </c>
      <c r="D1" s="39" t="s">
        <v>119</v>
      </c>
      <c r="E1" s="39" t="s">
        <v>120</v>
      </c>
      <c r="F1" s="39" t="s">
        <v>121</v>
      </c>
      <c r="G1" s="39" t="s">
        <v>122</v>
      </c>
      <c r="H1" s="39" t="s">
        <v>70</v>
      </c>
    </row>
    <row r="2" spans="1:8" x14ac:dyDescent="0.2">
      <c r="A2" t="s">
        <v>34</v>
      </c>
      <c r="B2">
        <v>35490</v>
      </c>
      <c r="C2">
        <v>36490</v>
      </c>
      <c r="D2">
        <v>39990</v>
      </c>
      <c r="E2">
        <v>61500</v>
      </c>
      <c r="F2">
        <v>80355</v>
      </c>
      <c r="G2">
        <v>93900</v>
      </c>
    </row>
    <row r="3" spans="1:8" x14ac:dyDescent="0.2">
      <c r="A3" t="s">
        <v>32</v>
      </c>
      <c r="B3" s="1">
        <v>16.28</v>
      </c>
      <c r="C3" s="1">
        <v>17.829999999999998</v>
      </c>
      <c r="D3" s="1">
        <v>16.829999999999998</v>
      </c>
      <c r="E3" s="1">
        <v>24.34</v>
      </c>
      <c r="F3" s="1">
        <v>18.03</v>
      </c>
      <c r="G3" s="1">
        <v>18.059999999999999</v>
      </c>
      <c r="H3" s="1">
        <f>AVERAGE(B3:G3)</f>
        <v>18.561666666666667</v>
      </c>
    </row>
    <row r="4" spans="1:8" x14ac:dyDescent="0.2">
      <c r="A4" t="s">
        <v>33</v>
      </c>
      <c r="B4" s="1">
        <f>45.34</f>
        <v>45.34</v>
      </c>
      <c r="C4" s="1">
        <f>46.01</f>
        <v>46.01</v>
      </c>
      <c r="D4" s="1">
        <f>48.22</f>
        <v>48.22</v>
      </c>
      <c r="E4" s="1">
        <f>48.02</f>
        <v>48.02</v>
      </c>
      <c r="F4" s="1">
        <f>74.71</f>
        <v>74.709999999999994</v>
      </c>
      <c r="G4" s="1">
        <f>77.13</f>
        <v>77.13</v>
      </c>
    </row>
    <row r="5" spans="1:8" x14ac:dyDescent="0.2">
      <c r="A5" s="40" t="s">
        <v>252</v>
      </c>
      <c r="B5">
        <v>96.92</v>
      </c>
      <c r="C5">
        <v>106.66</v>
      </c>
      <c r="D5">
        <v>116.89</v>
      </c>
      <c r="E5">
        <v>152.57</v>
      </c>
      <c r="F5">
        <v>202.43</v>
      </c>
      <c r="G5">
        <v>216.69</v>
      </c>
    </row>
    <row r="6" spans="1:8" x14ac:dyDescent="0.2">
      <c r="A6" s="38"/>
    </row>
    <row r="8" spans="1:8" x14ac:dyDescent="0.2">
      <c r="A8" s="38" t="s">
        <v>68</v>
      </c>
    </row>
    <row r="9" spans="1:8" ht="13.5" thickBot="1" x14ac:dyDescent="0.25"/>
    <row r="10" spans="1:8" x14ac:dyDescent="0.2">
      <c r="A10" s="37" t="s">
        <v>35</v>
      </c>
      <c r="B10" s="37"/>
    </row>
    <row r="11" spans="1:8" x14ac:dyDescent="0.2">
      <c r="A11" s="34" t="s">
        <v>36</v>
      </c>
      <c r="B11" s="34">
        <v>0.93172218372227733</v>
      </c>
    </row>
    <row r="12" spans="1:8" x14ac:dyDescent="0.2">
      <c r="A12" s="34" t="s">
        <v>37</v>
      </c>
      <c r="B12" s="34">
        <v>0.86810622764020906</v>
      </c>
    </row>
    <row r="13" spans="1:8" x14ac:dyDescent="0.2">
      <c r="A13" s="34" t="s">
        <v>38</v>
      </c>
      <c r="B13" s="34">
        <v>-1.5</v>
      </c>
    </row>
    <row r="14" spans="1:8" x14ac:dyDescent="0.2">
      <c r="A14" s="34" t="s">
        <v>39</v>
      </c>
      <c r="B14" s="34">
        <v>6.1101019763115039</v>
      </c>
    </row>
    <row r="15" spans="1:8" ht="13.5" thickBot="1" x14ac:dyDescent="0.25">
      <c r="A15" s="35" t="s">
        <v>40</v>
      </c>
      <c r="B15" s="35">
        <v>1</v>
      </c>
    </row>
    <row r="17" spans="1:10" ht="13.5" thickBot="1" x14ac:dyDescent="0.25">
      <c r="A17" t="s">
        <v>41</v>
      </c>
    </row>
    <row r="18" spans="1:10" x14ac:dyDescent="0.2">
      <c r="A18" s="36"/>
      <c r="B18" s="36" t="s">
        <v>44</v>
      </c>
      <c r="C18" s="36" t="s">
        <v>45</v>
      </c>
      <c r="D18" s="36" t="s">
        <v>46</v>
      </c>
      <c r="E18" s="36" t="s">
        <v>47</v>
      </c>
      <c r="F18" s="36" t="s">
        <v>48</v>
      </c>
    </row>
    <row r="19" spans="1:10" x14ac:dyDescent="0.2">
      <c r="A19" s="34" t="s">
        <v>42</v>
      </c>
      <c r="B19" s="34">
        <v>6</v>
      </c>
      <c r="C19" s="34">
        <v>982.89129868962993</v>
      </c>
      <c r="D19" s="34">
        <v>163.81521644827166</v>
      </c>
      <c r="E19" s="34">
        <v>26.327436454607302</v>
      </c>
      <c r="F19" s="34" t="e">
        <v>#NUM!</v>
      </c>
    </row>
    <row r="20" spans="1:10" x14ac:dyDescent="0.2">
      <c r="A20" s="34" t="s">
        <v>16</v>
      </c>
      <c r="B20" s="34">
        <v>4</v>
      </c>
      <c r="C20" s="34">
        <v>149.33338464370297</v>
      </c>
      <c r="D20" s="34">
        <v>37.333346160925743</v>
      </c>
      <c r="E20" s="34"/>
      <c r="F20" s="34"/>
    </row>
    <row r="21" spans="1:10" ht="13.5" thickBot="1" x14ac:dyDescent="0.25">
      <c r="A21" s="35" t="s">
        <v>0</v>
      </c>
      <c r="B21" s="35">
        <v>10</v>
      </c>
      <c r="C21" s="35">
        <v>1132.2246833333329</v>
      </c>
      <c r="D21" s="35"/>
      <c r="E21" s="35"/>
      <c r="F21" s="35"/>
    </row>
    <row r="22" spans="1:10" ht="13.5" thickBot="1" x14ac:dyDescent="0.25"/>
    <row r="23" spans="1:10" x14ac:dyDescent="0.2">
      <c r="A23" s="36"/>
      <c r="B23" s="36" t="s">
        <v>49</v>
      </c>
      <c r="C23" s="36" t="s">
        <v>39</v>
      </c>
      <c r="D23" s="36" t="s">
        <v>50</v>
      </c>
      <c r="E23" s="36" t="s">
        <v>51</v>
      </c>
      <c r="F23" s="36" t="s">
        <v>52</v>
      </c>
      <c r="G23" s="36" t="s">
        <v>53</v>
      </c>
      <c r="H23" s="36" t="s">
        <v>54</v>
      </c>
      <c r="I23" s="36" t="s">
        <v>55</v>
      </c>
    </row>
    <row r="24" spans="1:10" x14ac:dyDescent="0.2">
      <c r="A24" s="34" t="s">
        <v>43</v>
      </c>
      <c r="B24" s="34">
        <v>0.86810622764020906</v>
      </c>
      <c r="C24" s="34">
        <v>982.89129868962993</v>
      </c>
      <c r="D24" s="34">
        <v>8.8321692215359939E-4</v>
      </c>
      <c r="E24" s="34">
        <v>0.99933758741603684</v>
      </c>
      <c r="F24" s="34">
        <v>-2728.0756289606852</v>
      </c>
      <c r="G24" s="34">
        <v>2729.8118414159653</v>
      </c>
      <c r="H24" s="34">
        <v>-2728.0756289606852</v>
      </c>
      <c r="I24" s="34">
        <v>2729.8118414159653</v>
      </c>
    </row>
    <row r="25" spans="1:10" x14ac:dyDescent="0.2">
      <c r="A25" s="34" t="s">
        <v>56</v>
      </c>
      <c r="B25" s="34">
        <v>6.8368393922629878</v>
      </c>
      <c r="C25" s="34">
        <v>4</v>
      </c>
      <c r="D25" s="34">
        <v>1.7092098480657469</v>
      </c>
      <c r="E25" s="34">
        <v>0.16259113830836858</v>
      </c>
      <c r="F25" s="34">
        <v>-4.2689410285281859</v>
      </c>
      <c r="G25" s="34">
        <v>17.942619813054161</v>
      </c>
      <c r="H25" s="34">
        <v>-4.2689410285281859</v>
      </c>
      <c r="I25" s="34">
        <v>17.942619813054161</v>
      </c>
    </row>
    <row r="26" spans="1:10" x14ac:dyDescent="0.2">
      <c r="A26" s="34" t="s">
        <v>57</v>
      </c>
      <c r="B26" s="34">
        <v>1.0983755296375746E-4</v>
      </c>
      <c r="C26" s="34">
        <v>26.327436454607302</v>
      </c>
      <c r="D26" s="34">
        <v>4.1719805554610272E-6</v>
      </c>
      <c r="E26" s="34">
        <v>0.99999687101458345</v>
      </c>
      <c r="F26" s="34">
        <v>-73.096572239247422</v>
      </c>
      <c r="G26" s="34">
        <v>73.096791914353361</v>
      </c>
      <c r="H26" s="34">
        <v>-73.096572239247422</v>
      </c>
      <c r="I26" s="34">
        <v>73.096791914353361</v>
      </c>
    </row>
    <row r="27" spans="1:10" x14ac:dyDescent="0.2">
      <c r="A27" s="34" t="s">
        <v>58</v>
      </c>
      <c r="B27" s="34"/>
      <c r="C27" s="34"/>
      <c r="D27" s="34"/>
      <c r="E27" s="34"/>
      <c r="F27" s="34"/>
      <c r="G27" s="34"/>
      <c r="H27" s="34">
        <v>-16.964362724389439</v>
      </c>
      <c r="I27" s="34">
        <v>16.964362724389439</v>
      </c>
    </row>
    <row r="28" spans="1:10" x14ac:dyDescent="0.2">
      <c r="A28" s="34" t="s">
        <v>59</v>
      </c>
      <c r="B28" s="34"/>
      <c r="C28" s="34"/>
      <c r="D28" s="34"/>
      <c r="E28" s="34"/>
      <c r="F28" s="34"/>
      <c r="G28" s="34"/>
      <c r="H28" s="34">
        <v>-2.41024928652338</v>
      </c>
      <c r="I28" s="34">
        <v>2.41024928652338</v>
      </c>
    </row>
    <row r="29" spans="1:10" x14ac:dyDescent="0.2">
      <c r="A29" s="34" t="s">
        <v>60</v>
      </c>
      <c r="B29" s="41">
        <v>23.909890303896383</v>
      </c>
      <c r="C29" s="34">
        <v>6.8368393922629878</v>
      </c>
      <c r="D29" s="34">
        <v>3.4972139803304976</v>
      </c>
      <c r="E29" s="34">
        <v>2.4959072603458716E-2</v>
      </c>
      <c r="F29" s="34">
        <v>4.927781038224353</v>
      </c>
      <c r="G29" s="34">
        <v>42.891999569568412</v>
      </c>
      <c r="H29" s="34">
        <v>4.927781038224353</v>
      </c>
      <c r="I29" s="34">
        <v>42.891999569568412</v>
      </c>
      <c r="J29" s="43" t="s">
        <v>71</v>
      </c>
    </row>
    <row r="30" spans="1:10" ht="13.5" thickBot="1" x14ac:dyDescent="0.25">
      <c r="A30" s="35" t="s">
        <v>61</v>
      </c>
      <c r="B30" s="42">
        <v>5.6357943253036648E-4</v>
      </c>
      <c r="C30" s="35">
        <v>1.0983755296375746E-4</v>
      </c>
      <c r="D30" s="35">
        <v>5.1310268421250056</v>
      </c>
      <c r="E30" s="35">
        <v>6.8336394765060168E-3</v>
      </c>
      <c r="F30" s="35">
        <v>2.586214962372387E-4</v>
      </c>
      <c r="G30" s="35">
        <v>8.6853736882349427E-4</v>
      </c>
      <c r="H30" s="35">
        <v>2.586214962372387E-4</v>
      </c>
      <c r="I30" s="35">
        <v>8.6853736882349427E-4</v>
      </c>
      <c r="J30" s="43" t="s">
        <v>72</v>
      </c>
    </row>
    <row r="32" spans="1:10" x14ac:dyDescent="0.2">
      <c r="A32" s="38" t="s">
        <v>253</v>
      </c>
    </row>
    <row r="33" spans="1:9" ht="13.5" thickBot="1" x14ac:dyDescent="0.25"/>
    <row r="34" spans="1:9" x14ac:dyDescent="0.2">
      <c r="A34" s="37" t="s">
        <v>35</v>
      </c>
      <c r="B34" s="37"/>
    </row>
    <row r="35" spans="1:9" x14ac:dyDescent="0.2">
      <c r="A35" s="34" t="s">
        <v>36</v>
      </c>
      <c r="B35" s="34">
        <v>0.99358125899516381</v>
      </c>
    </row>
    <row r="36" spans="1:9" x14ac:dyDescent="0.2">
      <c r="A36" s="34" t="s">
        <v>37</v>
      </c>
      <c r="B36" s="34">
        <v>0.98720371822641484</v>
      </c>
    </row>
    <row r="37" spans="1:9" x14ac:dyDescent="0.2">
      <c r="A37" s="34" t="s">
        <v>38</v>
      </c>
      <c r="B37" s="34">
        <v>-1.5</v>
      </c>
    </row>
    <row r="38" spans="1:9" x14ac:dyDescent="0.2">
      <c r="A38" s="34" t="s">
        <v>39</v>
      </c>
      <c r="B38" s="34">
        <v>6.4451318150916856</v>
      </c>
    </row>
    <row r="39" spans="1:9" ht="13.5" thickBot="1" x14ac:dyDescent="0.25">
      <c r="A39" s="35" t="s">
        <v>40</v>
      </c>
      <c r="B39" s="35">
        <v>1</v>
      </c>
    </row>
    <row r="41" spans="1:9" ht="13.5" thickBot="1" x14ac:dyDescent="0.25">
      <c r="A41" t="s">
        <v>41</v>
      </c>
    </row>
    <row r="42" spans="1:9" x14ac:dyDescent="0.2">
      <c r="A42" s="36"/>
      <c r="B42" s="36" t="s">
        <v>44</v>
      </c>
      <c r="C42" s="36" t="s">
        <v>45</v>
      </c>
      <c r="D42" s="36" t="s">
        <v>46</v>
      </c>
      <c r="E42" s="36" t="s">
        <v>47</v>
      </c>
      <c r="F42" s="36" t="s">
        <v>48</v>
      </c>
    </row>
    <row r="43" spans="1:9" x14ac:dyDescent="0.2">
      <c r="A43" s="34" t="s">
        <v>42</v>
      </c>
      <c r="B43" s="34">
        <v>6</v>
      </c>
      <c r="C43" s="34">
        <v>12818.776836877705</v>
      </c>
      <c r="D43" s="34">
        <v>2136.462806146284</v>
      </c>
      <c r="E43" s="34">
        <v>308.59080338923388</v>
      </c>
      <c r="F43" s="34" t="e">
        <v>#NUM!</v>
      </c>
    </row>
    <row r="44" spans="1:9" x14ac:dyDescent="0.2">
      <c r="A44" s="34" t="s">
        <v>16</v>
      </c>
      <c r="B44" s="34">
        <v>4</v>
      </c>
      <c r="C44" s="34">
        <v>166.15889645562817</v>
      </c>
      <c r="D44" s="34">
        <v>41.539724113907042</v>
      </c>
      <c r="E44" s="34"/>
      <c r="F44" s="34"/>
    </row>
    <row r="45" spans="1:9" ht="13.5" thickBot="1" x14ac:dyDescent="0.25">
      <c r="A45" s="35" t="s">
        <v>0</v>
      </c>
      <c r="B45" s="35">
        <v>10</v>
      </c>
      <c r="C45" s="35">
        <v>12984.935733333334</v>
      </c>
      <c r="D45" s="35"/>
      <c r="E45" s="35"/>
      <c r="F45" s="35"/>
    </row>
    <row r="46" spans="1:9" ht="13.5" thickBot="1" x14ac:dyDescent="0.25"/>
    <row r="47" spans="1:9" x14ac:dyDescent="0.2">
      <c r="A47" s="36"/>
      <c r="B47" s="36" t="s">
        <v>49</v>
      </c>
      <c r="C47" s="36" t="s">
        <v>39</v>
      </c>
      <c r="D47" s="36" t="s">
        <v>50</v>
      </c>
      <c r="E47" s="36" t="s">
        <v>51</v>
      </c>
      <c r="F47" s="36" t="s">
        <v>52</v>
      </c>
      <c r="G47" s="36" t="s">
        <v>53</v>
      </c>
      <c r="H47" s="36" t="s">
        <v>54</v>
      </c>
      <c r="I47" s="36" t="s">
        <v>55</v>
      </c>
    </row>
    <row r="48" spans="1:9" x14ac:dyDescent="0.2">
      <c r="A48" s="34" t="s">
        <v>43</v>
      </c>
      <c r="B48" s="34"/>
      <c r="C48" s="34"/>
      <c r="D48" s="34"/>
      <c r="E48" s="34"/>
      <c r="F48" s="34"/>
      <c r="G48" s="34"/>
      <c r="H48" s="34">
        <v>-3.3649570667671167E-295</v>
      </c>
      <c r="I48" s="34">
        <v>3.3649570667671167E-295</v>
      </c>
    </row>
    <row r="49" spans="1:10" x14ac:dyDescent="0.2">
      <c r="A49" s="34" t="s">
        <v>56</v>
      </c>
      <c r="B49" s="34"/>
      <c r="C49" s="34"/>
      <c r="D49" s="34"/>
      <c r="E49" s="34"/>
      <c r="F49" s="34"/>
      <c r="G49" s="34"/>
      <c r="H49" s="34">
        <v>0</v>
      </c>
      <c r="I49" s="34">
        <v>0</v>
      </c>
    </row>
    <row r="50" spans="1:10" x14ac:dyDescent="0.2">
      <c r="A50" s="34" t="s">
        <v>57</v>
      </c>
      <c r="B50" s="34"/>
      <c r="C50" s="34"/>
      <c r="D50" s="34"/>
      <c r="E50" s="34"/>
      <c r="F50" s="34"/>
      <c r="G50" s="34"/>
      <c r="H50" s="34">
        <v>1.6411498917904194E-250</v>
      </c>
      <c r="I50" s="34">
        <v>1.6411498917904194E-250</v>
      </c>
    </row>
    <row r="51" spans="1:10" x14ac:dyDescent="0.2">
      <c r="A51" s="34" t="s">
        <v>58</v>
      </c>
      <c r="B51" s="34"/>
      <c r="C51" s="34"/>
      <c r="D51" s="34"/>
      <c r="E51" s="34"/>
      <c r="F51" s="34"/>
      <c r="G51" s="34"/>
      <c r="H51" s="34">
        <v>0</v>
      </c>
      <c r="I51" s="34">
        <v>0</v>
      </c>
    </row>
    <row r="52" spans="1:10" x14ac:dyDescent="0.2">
      <c r="A52" s="34" t="s">
        <v>59</v>
      </c>
      <c r="B52" s="34"/>
      <c r="C52" s="34"/>
      <c r="D52" s="34"/>
      <c r="E52" s="34"/>
      <c r="F52" s="34"/>
      <c r="G52" s="34"/>
      <c r="H52" s="34">
        <v>-7.7817158545314893E-295</v>
      </c>
      <c r="I52" s="34">
        <v>7.7817158545314893E-295</v>
      </c>
    </row>
    <row r="53" spans="1:10" x14ac:dyDescent="0.2">
      <c r="A53" s="34" t="s">
        <v>60</v>
      </c>
      <c r="B53" s="41">
        <v>30.739964511495145</v>
      </c>
      <c r="C53" s="34">
        <v>7.2117177835298065</v>
      </c>
      <c r="D53" s="34">
        <v>4.2625024209487767</v>
      </c>
      <c r="E53" s="34">
        <v>1.3027618514288406E-2</v>
      </c>
      <c r="F53" s="34">
        <v>10.717025971345933</v>
      </c>
      <c r="G53" s="34">
        <v>50.762903051644358</v>
      </c>
      <c r="H53" s="34">
        <v>10.717025971345933</v>
      </c>
      <c r="I53" s="34">
        <v>50.762903051644358</v>
      </c>
      <c r="J53" s="43" t="s">
        <v>71</v>
      </c>
    </row>
    <row r="54" spans="1:10" ht="13.5" thickBot="1" x14ac:dyDescent="0.25">
      <c r="A54" s="35" t="s">
        <v>61</v>
      </c>
      <c r="B54" s="42">
        <v>2.0352871174952312E-3</v>
      </c>
      <c r="C54" s="35">
        <v>1.1586017874056516E-4</v>
      </c>
      <c r="D54" s="35">
        <v>17.566752784428711</v>
      </c>
      <c r="E54" s="35">
        <v>6.1668127308357087E-5</v>
      </c>
      <c r="F54" s="35">
        <v>1.7136076913436475E-3</v>
      </c>
      <c r="G54" s="35">
        <v>2.3569665436468149E-3</v>
      </c>
      <c r="H54" s="35">
        <v>1.7136076913436475E-3</v>
      </c>
      <c r="I54" s="35">
        <v>2.3569665436468149E-3</v>
      </c>
      <c r="J54" s="43" t="s">
        <v>72</v>
      </c>
    </row>
  </sheetData>
  <pageMargins left="0.7" right="0.7" top="0.75" bottom="0.75" header="0.3" footer="0.3"/>
  <pageSetup paperSize="9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6"/>
  <sheetViews>
    <sheetView workbookViewId="0">
      <selection activeCell="A56" sqref="A56"/>
    </sheetView>
  </sheetViews>
  <sheetFormatPr defaultRowHeight="12.75" x14ac:dyDescent="0.2"/>
  <cols>
    <col min="1" max="1" width="40.28515625" bestFit="1" customWidth="1"/>
  </cols>
  <sheetData>
    <row r="1" spans="1:9" ht="153" x14ac:dyDescent="0.2">
      <c r="A1" s="40" t="s">
        <v>124</v>
      </c>
      <c r="B1" s="39" t="s">
        <v>123</v>
      </c>
      <c r="C1" s="39" t="s">
        <v>125</v>
      </c>
      <c r="D1" s="39" t="s">
        <v>126</v>
      </c>
      <c r="E1" s="39" t="s">
        <v>127</v>
      </c>
      <c r="F1" s="39" t="s">
        <v>128</v>
      </c>
      <c r="G1" s="39" t="s">
        <v>129</v>
      </c>
      <c r="H1" s="39" t="s">
        <v>130</v>
      </c>
      <c r="I1" s="39" t="s">
        <v>70</v>
      </c>
    </row>
    <row r="2" spans="1:9" x14ac:dyDescent="0.2">
      <c r="A2" t="s">
        <v>34</v>
      </c>
      <c r="B2">
        <v>34990</v>
      </c>
      <c r="C2">
        <v>33090</v>
      </c>
      <c r="D2">
        <v>33990</v>
      </c>
      <c r="E2">
        <v>41240</v>
      </c>
      <c r="F2">
        <v>58300</v>
      </c>
      <c r="G2">
        <v>48490</v>
      </c>
      <c r="H2">
        <v>59990</v>
      </c>
    </row>
    <row r="3" spans="1:9" x14ac:dyDescent="0.2">
      <c r="A3" t="s">
        <v>32</v>
      </c>
      <c r="B3" s="1">
        <v>16.73</v>
      </c>
      <c r="C3" s="1">
        <v>18.47</v>
      </c>
      <c r="D3" s="1">
        <v>16.079999999999998</v>
      </c>
      <c r="E3" s="1">
        <v>21.38</v>
      </c>
      <c r="F3" s="1">
        <v>17.02</v>
      </c>
      <c r="G3" s="1">
        <v>21.81</v>
      </c>
      <c r="H3" s="1">
        <v>27.2</v>
      </c>
      <c r="I3" s="1">
        <f>AVERAGE(B3:H3)</f>
        <v>19.812857142857144</v>
      </c>
    </row>
    <row r="4" spans="1:9" x14ac:dyDescent="0.2">
      <c r="A4" t="s">
        <v>33</v>
      </c>
      <c r="B4" s="1">
        <f>46.72</f>
        <v>46.72</v>
      </c>
      <c r="C4" s="1">
        <f>48.35</f>
        <v>48.35</v>
      </c>
      <c r="D4" s="1">
        <f>55.34</f>
        <v>55.34</v>
      </c>
      <c r="E4" s="1">
        <f>56.22</f>
        <v>56.22</v>
      </c>
      <c r="F4" s="1">
        <f>57.55</f>
        <v>57.55</v>
      </c>
      <c r="G4" s="1">
        <f>62.12</f>
        <v>62.12</v>
      </c>
      <c r="H4" s="1">
        <f>60.09</f>
        <v>60.09</v>
      </c>
    </row>
    <row r="5" spans="1:9" x14ac:dyDescent="0.2">
      <c r="A5" s="40" t="s">
        <v>252</v>
      </c>
      <c r="B5">
        <v>80.75</v>
      </c>
      <c r="C5">
        <v>76.36</v>
      </c>
      <c r="D5">
        <v>77.13</v>
      </c>
      <c r="E5">
        <v>90.41</v>
      </c>
      <c r="F5">
        <v>118.84</v>
      </c>
      <c r="G5">
        <v>108.17</v>
      </c>
      <c r="H5">
        <v>129.21</v>
      </c>
    </row>
    <row r="6" spans="1:9" x14ac:dyDescent="0.2">
      <c r="A6" s="38"/>
    </row>
    <row r="8" spans="1:9" x14ac:dyDescent="0.2">
      <c r="A8" s="38" t="s">
        <v>68</v>
      </c>
    </row>
    <row r="9" spans="1:9" ht="13.5" thickBot="1" x14ac:dyDescent="0.25"/>
    <row r="10" spans="1:9" x14ac:dyDescent="0.2">
      <c r="A10" s="37" t="s">
        <v>35</v>
      </c>
      <c r="B10" s="37"/>
    </row>
    <row r="11" spans="1:9" x14ac:dyDescent="0.2">
      <c r="A11" s="34" t="s">
        <v>36</v>
      </c>
      <c r="B11" s="34">
        <v>0.73523768432024939</v>
      </c>
    </row>
    <row r="12" spans="1:9" x14ac:dyDescent="0.2">
      <c r="A12" s="34" t="s">
        <v>37</v>
      </c>
      <c r="B12" s="34">
        <v>0.54057445244460267</v>
      </c>
    </row>
    <row r="13" spans="1:9" x14ac:dyDescent="0.2">
      <c r="A13" s="34" t="s">
        <v>38</v>
      </c>
      <c r="B13" s="34">
        <v>-1.4</v>
      </c>
    </row>
    <row r="14" spans="1:9" x14ac:dyDescent="0.2">
      <c r="A14" s="34" t="s">
        <v>39</v>
      </c>
      <c r="B14" s="34">
        <v>4.2568790781466479</v>
      </c>
    </row>
    <row r="15" spans="1:9" ht="13.5" thickBot="1" x14ac:dyDescent="0.25">
      <c r="A15" s="35" t="s">
        <v>40</v>
      </c>
      <c r="B15" s="35">
        <v>1</v>
      </c>
    </row>
    <row r="17" spans="1:10" ht="13.5" thickBot="1" x14ac:dyDescent="0.25">
      <c r="A17" t="s">
        <v>41</v>
      </c>
    </row>
    <row r="18" spans="1:10" x14ac:dyDescent="0.2">
      <c r="A18" s="36"/>
      <c r="B18" s="36" t="s">
        <v>44</v>
      </c>
      <c r="C18" s="36" t="s">
        <v>45</v>
      </c>
      <c r="D18" s="36" t="s">
        <v>46</v>
      </c>
      <c r="E18" s="36" t="s">
        <v>47</v>
      </c>
      <c r="F18" s="36" t="s">
        <v>48</v>
      </c>
    </row>
    <row r="19" spans="1:10" x14ac:dyDescent="0.2">
      <c r="A19" s="34" t="s">
        <v>42</v>
      </c>
      <c r="B19" s="34">
        <v>7</v>
      </c>
      <c r="C19" s="34">
        <v>106.60878828447242</v>
      </c>
      <c r="D19" s="34">
        <v>15.229826897781775</v>
      </c>
      <c r="E19" s="34">
        <v>5.8831562080188888</v>
      </c>
      <c r="F19" s="34" t="e">
        <v>#NUM!</v>
      </c>
    </row>
    <row r="20" spans="1:10" x14ac:dyDescent="0.2">
      <c r="A20" s="34" t="s">
        <v>16</v>
      </c>
      <c r="B20" s="34">
        <v>5</v>
      </c>
      <c r="C20" s="34">
        <v>90.605097429813256</v>
      </c>
      <c r="D20" s="34">
        <v>18.121019485962652</v>
      </c>
      <c r="E20" s="34"/>
      <c r="F20" s="34"/>
    </row>
    <row r="21" spans="1:10" ht="13.5" thickBot="1" x14ac:dyDescent="0.25">
      <c r="A21" s="35" t="s">
        <v>0</v>
      </c>
      <c r="B21" s="35">
        <v>12</v>
      </c>
      <c r="C21" s="35">
        <v>197.21388571428568</v>
      </c>
      <c r="D21" s="35"/>
      <c r="E21" s="35"/>
      <c r="F21" s="35"/>
    </row>
    <row r="22" spans="1:10" ht="13.5" thickBot="1" x14ac:dyDescent="0.25"/>
    <row r="23" spans="1:10" x14ac:dyDescent="0.2">
      <c r="A23" s="36"/>
      <c r="B23" s="36" t="s">
        <v>49</v>
      </c>
      <c r="C23" s="36" t="s">
        <v>39</v>
      </c>
      <c r="D23" s="36" t="s">
        <v>50</v>
      </c>
      <c r="E23" s="36" t="s">
        <v>51</v>
      </c>
      <c r="F23" s="36" t="s">
        <v>52</v>
      </c>
      <c r="G23" s="36" t="s">
        <v>53</v>
      </c>
      <c r="H23" s="36" t="s">
        <v>54</v>
      </c>
      <c r="I23" s="36" t="s">
        <v>55</v>
      </c>
    </row>
    <row r="24" spans="1:10" x14ac:dyDescent="0.2">
      <c r="A24" s="34" t="s">
        <v>43</v>
      </c>
      <c r="B24" s="34">
        <v>4.2568790781466479</v>
      </c>
      <c r="C24" s="34">
        <v>5</v>
      </c>
      <c r="D24" s="34">
        <v>0.85137581562932962</v>
      </c>
      <c r="E24" s="34">
        <v>0.43343242553216066</v>
      </c>
      <c r="F24" s="34">
        <v>-8.5960301000349268</v>
      </c>
      <c r="G24" s="34">
        <v>17.109788256328223</v>
      </c>
      <c r="H24" s="34">
        <v>-8.5960301000349268</v>
      </c>
      <c r="I24" s="34">
        <v>17.109788256328223</v>
      </c>
    </row>
    <row r="25" spans="1:10" x14ac:dyDescent="0.2">
      <c r="A25" s="34" t="s">
        <v>56</v>
      </c>
      <c r="B25" s="34">
        <v>0.54057445244460267</v>
      </c>
      <c r="C25" s="34">
        <v>5.8831562080188888</v>
      </c>
      <c r="D25" s="34">
        <v>9.1885109511079477E-2</v>
      </c>
      <c r="E25" s="34">
        <v>0.9303571529118656</v>
      </c>
      <c r="F25" s="34">
        <v>-14.582560032099776</v>
      </c>
      <c r="G25" s="34">
        <v>15.66370893698898</v>
      </c>
      <c r="H25" s="34">
        <v>-14.582560032099776</v>
      </c>
      <c r="I25" s="34">
        <v>15.66370893698898</v>
      </c>
    </row>
    <row r="26" spans="1:10" x14ac:dyDescent="0.2">
      <c r="A26" s="34" t="s">
        <v>57</v>
      </c>
      <c r="B26" s="34"/>
      <c r="C26" s="34"/>
      <c r="D26" s="34"/>
      <c r="E26" s="34"/>
      <c r="F26" s="34"/>
      <c r="G26" s="34"/>
      <c r="H26" s="34">
        <v>-10.942656034784035</v>
      </c>
      <c r="I26" s="34">
        <v>10.942656034784035</v>
      </c>
    </row>
    <row r="27" spans="1:10" x14ac:dyDescent="0.2">
      <c r="A27" s="34" t="s">
        <v>58</v>
      </c>
      <c r="B27" s="34"/>
      <c r="C27" s="34"/>
      <c r="D27" s="34"/>
      <c r="E27" s="34"/>
      <c r="F27" s="34"/>
      <c r="G27" s="34"/>
      <c r="H27" s="34">
        <v>-1.3895908682631426</v>
      </c>
      <c r="I27" s="34">
        <v>1.3895908682631426</v>
      </c>
    </row>
    <row r="28" spans="1:10" x14ac:dyDescent="0.2">
      <c r="A28" s="34" t="s">
        <v>59</v>
      </c>
      <c r="B28" s="34"/>
      <c r="C28" s="34"/>
      <c r="D28" s="34"/>
      <c r="E28" s="34"/>
      <c r="F28" s="34"/>
      <c r="G28" s="34"/>
      <c r="H28" s="34">
        <v>6.9087626694074498</v>
      </c>
      <c r="I28" s="34">
        <v>6.9087626694074498</v>
      </c>
    </row>
    <row r="29" spans="1:10" x14ac:dyDescent="0.2">
      <c r="A29" s="34" t="s">
        <v>60</v>
      </c>
      <c r="B29" s="34"/>
      <c r="C29" s="34"/>
      <c r="D29" s="34"/>
      <c r="E29" s="34"/>
      <c r="F29" s="34"/>
      <c r="G29" s="34"/>
      <c r="H29" s="34">
        <v>1.5167082391865871E-4</v>
      </c>
      <c r="I29" s="34">
        <v>1.5167082391865871E-4</v>
      </c>
    </row>
    <row r="30" spans="1:10" x14ac:dyDescent="0.2">
      <c r="A30" s="34" t="s">
        <v>61</v>
      </c>
      <c r="B30" s="41">
        <v>38.901973267887342</v>
      </c>
      <c r="C30" s="34">
        <v>6.9087626694074498</v>
      </c>
      <c r="D30" s="34">
        <v>5.6308162733897884</v>
      </c>
      <c r="E30" s="34">
        <v>2.4482258206358389E-3</v>
      </c>
      <c r="F30" s="34">
        <v>21.142433443186292</v>
      </c>
      <c r="G30" s="34">
        <v>56.661513092588393</v>
      </c>
      <c r="H30" s="34">
        <v>21.142433443186292</v>
      </c>
      <c r="I30" s="34">
        <v>56.661513092588393</v>
      </c>
      <c r="J30" s="43" t="s">
        <v>71</v>
      </c>
    </row>
    <row r="31" spans="1:10" ht="13.5" thickBot="1" x14ac:dyDescent="0.25">
      <c r="A31" s="35" t="s">
        <v>62</v>
      </c>
      <c r="B31" s="42">
        <v>3.6788089627136827E-4</v>
      </c>
      <c r="C31" s="35">
        <v>1.5167082391865871E-4</v>
      </c>
      <c r="D31" s="35">
        <v>2.4255218424122451</v>
      </c>
      <c r="E31" s="35">
        <v>5.9709374877350091E-2</v>
      </c>
      <c r="F31" s="35">
        <v>-2.2001368689929777E-5</v>
      </c>
      <c r="G31" s="35">
        <v>7.5776316123266638E-4</v>
      </c>
      <c r="H31" s="35">
        <v>-2.2001368689929777E-5</v>
      </c>
      <c r="I31" s="35">
        <v>7.5776316123266638E-4</v>
      </c>
      <c r="J31" s="43" t="s">
        <v>72</v>
      </c>
    </row>
    <row r="33" spans="1:9" x14ac:dyDescent="0.2">
      <c r="A33" s="38" t="s">
        <v>253</v>
      </c>
    </row>
    <row r="34" spans="1:9" ht="13.5" thickBot="1" x14ac:dyDescent="0.25"/>
    <row r="35" spans="1:9" x14ac:dyDescent="0.2">
      <c r="A35" s="37" t="s">
        <v>35</v>
      </c>
      <c r="B35" s="37"/>
    </row>
    <row r="36" spans="1:9" x14ac:dyDescent="0.2">
      <c r="A36" s="34" t="s">
        <v>36</v>
      </c>
      <c r="B36" s="34">
        <v>0.99271632943782917</v>
      </c>
    </row>
    <row r="37" spans="1:9" x14ac:dyDescent="0.2">
      <c r="A37" s="34" t="s">
        <v>37</v>
      </c>
      <c r="B37" s="34">
        <v>0.98548571073251656</v>
      </c>
    </row>
    <row r="38" spans="1:9" x14ac:dyDescent="0.2">
      <c r="A38" s="34" t="s">
        <v>38</v>
      </c>
      <c r="B38" s="34">
        <v>-1.4</v>
      </c>
    </row>
    <row r="39" spans="1:9" x14ac:dyDescent="0.2">
      <c r="A39" s="34" t="s">
        <v>39</v>
      </c>
      <c r="B39" s="34">
        <v>2.8341437252473893</v>
      </c>
    </row>
    <row r="40" spans="1:9" ht="13.5" thickBot="1" x14ac:dyDescent="0.25">
      <c r="A40" s="35" t="s">
        <v>40</v>
      </c>
      <c r="B40" s="35">
        <v>1</v>
      </c>
    </row>
    <row r="42" spans="1:9" ht="13.5" thickBot="1" x14ac:dyDescent="0.25">
      <c r="A42" t="s">
        <v>41</v>
      </c>
    </row>
    <row r="43" spans="1:9" x14ac:dyDescent="0.2">
      <c r="A43" s="36"/>
      <c r="B43" s="36" t="s">
        <v>44</v>
      </c>
      <c r="C43" s="36" t="s">
        <v>45</v>
      </c>
      <c r="D43" s="36" t="s">
        <v>46</v>
      </c>
      <c r="E43" s="36" t="s">
        <v>47</v>
      </c>
      <c r="F43" s="36" t="s">
        <v>48</v>
      </c>
    </row>
    <row r="44" spans="1:9" x14ac:dyDescent="0.2">
      <c r="A44" s="34" t="s">
        <v>42</v>
      </c>
      <c r="B44" s="34">
        <v>7</v>
      </c>
      <c r="C44" s="34">
        <v>2726.894289580348</v>
      </c>
      <c r="D44" s="34">
        <v>389.55632708290688</v>
      </c>
      <c r="E44" s="34">
        <v>339.48810464330109</v>
      </c>
      <c r="F44" s="34" t="e">
        <v>#NUM!</v>
      </c>
    </row>
    <row r="45" spans="1:9" x14ac:dyDescent="0.2">
      <c r="A45" s="34" t="s">
        <v>16</v>
      </c>
      <c r="B45" s="34">
        <v>5</v>
      </c>
      <c r="C45" s="34">
        <v>40.161853276795753</v>
      </c>
      <c r="D45" s="34">
        <v>8.0323706553591503</v>
      </c>
      <c r="E45" s="34"/>
      <c r="F45" s="34"/>
    </row>
    <row r="46" spans="1:9" ht="13.5" thickBot="1" x14ac:dyDescent="0.25">
      <c r="A46" s="35" t="s">
        <v>0</v>
      </c>
      <c r="B46" s="35">
        <v>12</v>
      </c>
      <c r="C46" s="35">
        <v>2767.0561428571436</v>
      </c>
      <c r="D46" s="35"/>
      <c r="E46" s="35"/>
      <c r="F46" s="35"/>
    </row>
    <row r="47" spans="1:9" ht="13.5" thickBot="1" x14ac:dyDescent="0.25"/>
    <row r="48" spans="1:9" x14ac:dyDescent="0.2">
      <c r="A48" s="36"/>
      <c r="B48" s="36" t="s">
        <v>49</v>
      </c>
      <c r="C48" s="36" t="s">
        <v>39</v>
      </c>
      <c r="D48" s="36" t="s">
        <v>50</v>
      </c>
      <c r="E48" s="36" t="s">
        <v>51</v>
      </c>
      <c r="F48" s="36" t="s">
        <v>52</v>
      </c>
      <c r="G48" s="36" t="s">
        <v>53</v>
      </c>
      <c r="H48" s="36" t="s">
        <v>54</v>
      </c>
      <c r="I48" s="36" t="s">
        <v>55</v>
      </c>
    </row>
    <row r="49" spans="1:10" x14ac:dyDescent="0.2">
      <c r="A49" s="34" t="s">
        <v>43</v>
      </c>
      <c r="B49" s="34"/>
      <c r="C49" s="34"/>
      <c r="D49" s="34"/>
      <c r="E49" s="34"/>
      <c r="F49" s="34"/>
      <c r="G49" s="34"/>
      <c r="H49" s="34">
        <v>3.9750613960971168E-297</v>
      </c>
      <c r="I49" s="34">
        <v>3.9750613960971168E-297</v>
      </c>
    </row>
    <row r="50" spans="1:10" x14ac:dyDescent="0.2">
      <c r="A50" s="34" t="s">
        <v>56</v>
      </c>
      <c r="B50" s="34"/>
      <c r="C50" s="34"/>
      <c r="D50" s="34"/>
      <c r="E50" s="34"/>
      <c r="F50" s="34"/>
      <c r="G50" s="34"/>
      <c r="H50" s="34">
        <v>0</v>
      </c>
      <c r="I50" s="34">
        <v>0</v>
      </c>
    </row>
    <row r="51" spans="1:10" x14ac:dyDescent="0.2">
      <c r="A51" s="34" t="s">
        <v>57</v>
      </c>
      <c r="B51" s="34"/>
      <c r="C51" s="34"/>
      <c r="D51" s="34"/>
      <c r="E51" s="34"/>
      <c r="F51" s="34"/>
      <c r="G51" s="34"/>
      <c r="H51" s="34">
        <v>-38.164822805620084</v>
      </c>
      <c r="I51" s="34">
        <v>38.164822805620084</v>
      </c>
    </row>
    <row r="52" spans="1:10" x14ac:dyDescent="0.2">
      <c r="A52" s="34" t="s">
        <v>58</v>
      </c>
      <c r="B52" s="34"/>
      <c r="C52" s="34"/>
      <c r="D52" s="34"/>
      <c r="E52" s="34"/>
      <c r="F52" s="34"/>
      <c r="G52" s="34"/>
      <c r="H52" s="34">
        <v>-4.7827349956153292E-3</v>
      </c>
      <c r="I52" s="34">
        <v>4.7827349956153292E-3</v>
      </c>
    </row>
    <row r="53" spans="1:10" x14ac:dyDescent="0.2">
      <c r="A53" s="34" t="s">
        <v>59</v>
      </c>
      <c r="B53" s="34"/>
      <c r="C53" s="34"/>
      <c r="D53" s="34"/>
      <c r="E53" s="34"/>
      <c r="F53" s="34"/>
      <c r="G53" s="34"/>
      <c r="H53" s="34">
        <v>0</v>
      </c>
      <c r="I53" s="34">
        <v>0</v>
      </c>
    </row>
    <row r="54" spans="1:10" x14ac:dyDescent="0.2">
      <c r="A54" s="34" t="s">
        <v>60</v>
      </c>
      <c r="B54" s="34"/>
      <c r="C54" s="34"/>
      <c r="D54" s="34"/>
      <c r="E54" s="34"/>
      <c r="F54" s="34"/>
      <c r="G54" s="34"/>
      <c r="H54" s="34">
        <v>-1.0066044069842644E-249</v>
      </c>
      <c r="I54" s="34">
        <v>1.0066044069842644E-249</v>
      </c>
    </row>
    <row r="55" spans="1:10" x14ac:dyDescent="0.2">
      <c r="A55" s="34" t="s">
        <v>61</v>
      </c>
      <c r="B55" s="41">
        <v>14.846764369270844</v>
      </c>
      <c r="C55" s="34">
        <v>4.599714018009978</v>
      </c>
      <c r="D55" s="34">
        <v>3.2277581412972611</v>
      </c>
      <c r="E55" s="34">
        <v>2.326379331925503E-2</v>
      </c>
      <c r="F55" s="34">
        <v>3.0228230654526644</v>
      </c>
      <c r="G55" s="34">
        <v>26.670705673089024</v>
      </c>
      <c r="H55" s="34">
        <v>3.0228230654526644</v>
      </c>
      <c r="I55" s="34">
        <v>26.670705673089024</v>
      </c>
      <c r="J55" s="43" t="s">
        <v>71</v>
      </c>
    </row>
    <row r="56" spans="1:10" ht="13.5" thickBot="1" x14ac:dyDescent="0.25">
      <c r="A56" s="35" t="s">
        <v>62</v>
      </c>
      <c r="B56" s="42">
        <v>1.8605651566161571E-3</v>
      </c>
      <c r="C56" s="35">
        <v>1.0097935741677647E-4</v>
      </c>
      <c r="D56" s="35">
        <v>18.425202974276871</v>
      </c>
      <c r="E56" s="35">
        <v>8.6622929011822862E-6</v>
      </c>
      <c r="F56" s="35">
        <v>1.6009894546663644E-3</v>
      </c>
      <c r="G56" s="35">
        <v>2.1201408585659501E-3</v>
      </c>
      <c r="H56" s="35">
        <v>1.6009894546663644E-3</v>
      </c>
      <c r="I56" s="35">
        <v>2.1201408585659501E-3</v>
      </c>
      <c r="J56" s="43" t="s">
        <v>72</v>
      </c>
    </row>
  </sheetData>
  <pageMargins left="0.7" right="0.7" top="0.75" bottom="0.75" header="0.3" footer="0.3"/>
  <pageSetup paperSize="9" orientation="portrait" r:id="rId1"/>
  <headerFooter>
    <oddFooter>&amp;L&amp;"arial,Bold"&amp;10&amp;K3F3F3FUnclassified_x000D_&amp;1#&amp;"Calibri"&amp;11&amp;K000000 OFFICIAL</oddFooter>
    <evenFooter>&amp;L&amp;"arial,Bold"&amp;10&amp;K3F3F3FUnclassified</evenFooter>
    <firstFooter>&amp;L&amp;"arial,Bold"&amp;10&amp;K3F3F3FUnclassified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64223A34507418F6B5C4CF6A17105" ma:contentTypeVersion="10" ma:contentTypeDescription="Create a new document." ma:contentTypeScope="" ma:versionID="ec1993c2f03cf397692825e56130e1d8">
  <xsd:schema xmlns:xsd="http://www.w3.org/2001/XMLSchema" xmlns:xs="http://www.w3.org/2001/XMLSchema" xmlns:p="http://schemas.microsoft.com/office/2006/metadata/properties" xmlns:ns2="f3b7911b-5d2a-4f88-b3f1-071ce9a8f013" xmlns:ns3="0b579507-b9da-40d3-9eed-f96ba61fa452" targetNamespace="http://schemas.microsoft.com/office/2006/metadata/properties" ma:root="true" ma:fieldsID="cf1e1041ccc3d579f23797aaa8165884" ns2:_="" ns3:_="">
    <xsd:import namespace="f3b7911b-5d2a-4f88-b3f1-071ce9a8f013"/>
    <xsd:import namespace="0b579507-b9da-40d3-9eed-f96ba61fa45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status" minOccurs="0"/>
                <xsd:element ref="ns3:Comment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b7911b-5d2a-4f88-b3f1-071ce9a8f01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579507-b9da-40d3-9eed-f96ba61fa452" elementFormDefault="qualified">
    <xsd:import namespace="http://schemas.microsoft.com/office/2006/documentManagement/types"/>
    <xsd:import namespace="http://schemas.microsoft.com/office/infopath/2007/PartnerControls"/>
    <xsd:element name="Documentstatus" ma:index="11" nillable="true" ma:displayName="Document status" ma:format="Dropdown" ma:internalName="Documentstatus">
      <xsd:simpleType>
        <xsd:restriction base="dms:Choice">
          <xsd:enumeration value="In progress"/>
          <xsd:enumeration value="Final"/>
        </xsd:restriction>
      </xsd:simpleType>
    </xsd:element>
    <xsd:element name="Comment" ma:index="12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status xmlns="0b579507-b9da-40d3-9eed-f96ba61fa452" xsi:nil="true"/>
    <Comment xmlns="0b579507-b9da-40d3-9eed-f96ba61fa452" xsi:nil="true"/>
    <_dlc_DocId xmlns="f3b7911b-5d2a-4f88-b3f1-071ce9a8f013">PAGOV-977582846-2763</_dlc_DocId>
    <_dlc_DocIdUrl xmlns="f3b7911b-5d2a-4f88-b3f1-071ce9a8f013">
      <Url>https://vicgov.sharepoint.com/sites/msteams_76da36/_layouts/15/DocIdRedir.aspx?ID=PAGOV-977582846-2763</Url>
      <Description>PAGOV-977582846-2763</Description>
    </_dlc_DocIdUrl>
  </documentManagement>
</p:properties>
</file>

<file path=customXml/itemProps1.xml><?xml version="1.0" encoding="utf-8"?>
<ds:datastoreItem xmlns:ds="http://schemas.openxmlformats.org/officeDocument/2006/customXml" ds:itemID="{4C6A6595-650E-4764-BF29-80E2BB16FDEA}"/>
</file>

<file path=customXml/itemProps2.xml><?xml version="1.0" encoding="utf-8"?>
<ds:datastoreItem xmlns:ds="http://schemas.openxmlformats.org/officeDocument/2006/customXml" ds:itemID="{C1C0C785-13EA-4E5D-AA09-A427F92CB6C4}"/>
</file>

<file path=customXml/itemProps3.xml><?xml version="1.0" encoding="utf-8"?>
<ds:datastoreItem xmlns:ds="http://schemas.openxmlformats.org/officeDocument/2006/customXml" ds:itemID="{26D5D096-AAEA-4560-A2B5-71962505CF6E}"/>
</file>

<file path=customXml/itemProps4.xml><?xml version="1.0" encoding="utf-8"?>
<ds:datastoreItem xmlns:ds="http://schemas.openxmlformats.org/officeDocument/2006/customXml" ds:itemID="{ED3B4C3A-7679-490D-B94E-31810CC3DD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CALCULATOR</vt:lpstr>
      <vt:lpstr>VEHICLE CLASSES</vt:lpstr>
      <vt:lpstr>ASSUMPTIONS</vt:lpstr>
      <vt:lpstr>MICRO CARS</vt:lpstr>
      <vt:lpstr>LIGHT CARS</vt:lpstr>
      <vt:lpstr>SMALL CARS</vt:lpstr>
      <vt:lpstr>MEDIUM CARS</vt:lpstr>
      <vt:lpstr>LARGE CARS</vt:lpstr>
      <vt:lpstr>SPORTS</vt:lpstr>
      <vt:lpstr>PEOPLE MOVERS</vt:lpstr>
      <vt:lpstr>SUV - SMALL</vt:lpstr>
      <vt:lpstr>SUV - MEDIUM</vt:lpstr>
      <vt:lpstr>SUV - LARGE</vt:lpstr>
      <vt:lpstr>SUV - ALL TERRAIN</vt:lpstr>
      <vt:lpstr>2WD UTES</vt:lpstr>
      <vt:lpstr>4WD UTES</vt:lpstr>
      <vt:lpstr>ELECTRIC CARS</vt:lpstr>
      <vt:lpstr>CALCULATOR!Print_Area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Executive Vehicle Calculator</dc:title>
  <dc:creator>Victorian Public Sector Commission</dc:creator>
  <dc:description>Version updated 10 October 2018</dc:description>
  <cp:lastModifiedBy>Secretariat</cp:lastModifiedBy>
  <cp:lastPrinted>2018-09-18T07:31:59Z</cp:lastPrinted>
  <dcterms:created xsi:type="dcterms:W3CDTF">2006-02-28T00:44:37Z</dcterms:created>
  <dcterms:modified xsi:type="dcterms:W3CDTF">2023-10-19T05:43:21Z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d3f47db1-16a3-435b-8b1b-5a8a637a6acd</vt:lpwstr>
  </property>
  <property fmtid="{D5CDD505-2E9C-101B-9397-08002B2CF9AE}" pid="3" name="PSPFClassification">
    <vt:lpwstr>Unclassified</vt:lpwstr>
  </property>
  <property fmtid="{D5CDD505-2E9C-101B-9397-08002B2CF9AE}" pid="4" name="MSIP_Label_7158ebbd-6c5e-441f-bfc9-4eb8c11e3978_Enabled">
    <vt:lpwstr>true</vt:lpwstr>
  </property>
  <property fmtid="{D5CDD505-2E9C-101B-9397-08002B2CF9AE}" pid="5" name="MSIP_Label_7158ebbd-6c5e-441f-bfc9-4eb8c11e3978_SetDate">
    <vt:lpwstr>2023-10-19T02:51:22Z</vt:lpwstr>
  </property>
  <property fmtid="{D5CDD505-2E9C-101B-9397-08002B2CF9AE}" pid="6" name="MSIP_Label_7158ebbd-6c5e-441f-bfc9-4eb8c11e3978_Method">
    <vt:lpwstr>Privileged</vt:lpwstr>
  </property>
  <property fmtid="{D5CDD505-2E9C-101B-9397-08002B2CF9AE}" pid="7" name="MSIP_Label_7158ebbd-6c5e-441f-bfc9-4eb8c11e3978_Name">
    <vt:lpwstr>7158ebbd-6c5e-441f-bfc9-4eb8c11e3978</vt:lpwstr>
  </property>
  <property fmtid="{D5CDD505-2E9C-101B-9397-08002B2CF9AE}" pid="8" name="MSIP_Label_7158ebbd-6c5e-441f-bfc9-4eb8c11e3978_SiteId">
    <vt:lpwstr>722ea0be-3e1c-4b11-ad6f-9401d6856e24</vt:lpwstr>
  </property>
  <property fmtid="{D5CDD505-2E9C-101B-9397-08002B2CF9AE}" pid="9" name="MSIP_Label_7158ebbd-6c5e-441f-bfc9-4eb8c11e3978_ActionId">
    <vt:lpwstr>a1ee255a-278a-4a5c-a1ad-315e8f6bc087</vt:lpwstr>
  </property>
  <property fmtid="{D5CDD505-2E9C-101B-9397-08002B2CF9AE}" pid="10" name="MSIP_Label_7158ebbd-6c5e-441f-bfc9-4eb8c11e3978_ContentBits">
    <vt:lpwstr>2</vt:lpwstr>
  </property>
  <property fmtid="{D5CDD505-2E9C-101B-9397-08002B2CF9AE}" pid="11" name="ContentTypeId">
    <vt:lpwstr>0x010100A3864223A34507418F6B5C4CF6A17105</vt:lpwstr>
  </property>
  <property fmtid="{D5CDD505-2E9C-101B-9397-08002B2CF9AE}" pid="12" name="_dlc_DocIdItemGuid">
    <vt:lpwstr>845e658e-6116-436e-8892-2b0f36de3f1a</vt:lpwstr>
  </property>
</Properties>
</file>